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ЭЭ" sheetId="1" r:id="rId1"/>
    <sheet name="мощн" sheetId="2" r:id="rId2"/>
    <sheet name="Баланс эл энергии" sheetId="3" r:id="rId3"/>
    <sheet name="Баланс мощности" sheetId="4" r:id="rId4"/>
  </sheets>
  <definedNames>
    <definedName name="_xlnm.Print_Area" localSheetId="3">'Баланс мощности'!$A$1:$L$43</definedName>
    <definedName name="_xlnm.Print_Area" localSheetId="2">'Баланс эл энергии'!$A$1:$L$47</definedName>
    <definedName name="_xlnm.Print_Area" localSheetId="1">'мощн'!$A$1:$G$22</definedName>
    <definedName name="_xlnm.Print_Area" localSheetId="0">'ЭЭ'!$A$1:$G$22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F19" authorId="0">
      <text>
        <r>
          <rPr>
            <b/>
            <sz val="10"/>
            <rFont val="Tahoma"/>
            <family val="0"/>
          </rPr>
          <t>Администратор:</t>
        </r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ООО "Гиперглобус" г. Владимир</t>
        </r>
      </text>
    </comment>
  </commentList>
</comments>
</file>

<file path=xl/sharedStrings.xml><?xml version="1.0" encoding="utf-8"?>
<sst xmlns="http://schemas.openxmlformats.org/spreadsheetml/2006/main" count="259" uniqueCount="77">
  <si>
    <t>Показатели</t>
  </si>
  <si>
    <t>ВН</t>
  </si>
  <si>
    <t>СН1</t>
  </si>
  <si>
    <t>СН2</t>
  </si>
  <si>
    <t>НН</t>
  </si>
  <si>
    <t>1.</t>
  </si>
  <si>
    <t>2.</t>
  </si>
  <si>
    <t>3.</t>
  </si>
  <si>
    <t>4.</t>
  </si>
  <si>
    <t>млн. кВтч</t>
  </si>
  <si>
    <t>№ п.п.</t>
  </si>
  <si>
    <t>Всего</t>
  </si>
  <si>
    <t xml:space="preserve">Поступление эл.энергии в сеть , ВСЕГО </t>
  </si>
  <si>
    <t>1.1.</t>
  </si>
  <si>
    <t>из смежной сети, всего</t>
  </si>
  <si>
    <t xml:space="preserve">    в том числе из сети</t>
  </si>
  <si>
    <t>МСК</t>
  </si>
  <si>
    <t>1.2.</t>
  </si>
  <si>
    <t xml:space="preserve">от электростанций ПЭ </t>
  </si>
  <si>
    <t>1.3.</t>
  </si>
  <si>
    <t>от других поставщиков (в т.ч. с оптового рынка)</t>
  </si>
  <si>
    <t>1.4.</t>
  </si>
  <si>
    <t xml:space="preserve">поступление эл. энергии от других организаций </t>
  </si>
  <si>
    <t xml:space="preserve">Потери электроэнергии в сети </t>
  </si>
  <si>
    <t>то же в % (п.1.1/п.1.3)</t>
  </si>
  <si>
    <t>Расход электроэнергии на произв и хознужды</t>
  </si>
  <si>
    <t xml:space="preserve">Полезный отпуск из сети </t>
  </si>
  <si>
    <t>4.1.</t>
  </si>
  <si>
    <t xml:space="preserve">в т.ч. собственным потребителям </t>
  </si>
  <si>
    <t>4.2.</t>
  </si>
  <si>
    <t>потребителям оптового рынка</t>
  </si>
  <si>
    <t>4.3.</t>
  </si>
  <si>
    <t>сальдо переток в другие организации</t>
  </si>
  <si>
    <t>4.4.</t>
  </si>
  <si>
    <t>сальдо переток в сопредельные регионы</t>
  </si>
  <si>
    <t xml:space="preserve">Поступление мощности в сеть , ВСЕГО </t>
  </si>
  <si>
    <t xml:space="preserve">от других организаций </t>
  </si>
  <si>
    <t xml:space="preserve">Потери в сети </t>
  </si>
  <si>
    <t>то же в %</t>
  </si>
  <si>
    <t>Мощность на производ. и хоз. нужды</t>
  </si>
  <si>
    <t>Полезный отпуск мощности потребителям</t>
  </si>
  <si>
    <t>в т.ч. Заявленная (расчетная) мощность собств. потр.</t>
  </si>
  <si>
    <t>Заявленная (расчетная) мощность потр. опт. рынка</t>
  </si>
  <si>
    <t>в другие организации</t>
  </si>
  <si>
    <t>тыс. кВт.ч.</t>
  </si>
  <si>
    <t>Баланс по организации (в целом)</t>
  </si>
  <si>
    <t>Баланс организации (без учета собственного потребления)</t>
  </si>
  <si>
    <t>х</t>
  </si>
  <si>
    <t>1.1.1.</t>
  </si>
  <si>
    <t>1.1.2.</t>
  </si>
  <si>
    <t>1.1.3.</t>
  </si>
  <si>
    <t>от электростанций</t>
  </si>
  <si>
    <t>из сетей ФСК</t>
  </si>
  <si>
    <t>из сетей Владимирэнерго</t>
  </si>
  <si>
    <t>1.5.</t>
  </si>
  <si>
    <t>2.1.</t>
  </si>
  <si>
    <t>Расход электроэнергии на производственные и хознужды</t>
  </si>
  <si>
    <t>потребителям, присоединенным к сети</t>
  </si>
  <si>
    <t>собственное потребление</t>
  </si>
  <si>
    <t>переток в другие сетевые организации</t>
  </si>
  <si>
    <t>МВт</t>
  </si>
  <si>
    <t>Часы использования заявленной (расчетной) мощности</t>
  </si>
  <si>
    <t>Расход мощности на производственные и хознужды</t>
  </si>
  <si>
    <t xml:space="preserve">Полезный отпуск мощности </t>
  </si>
  <si>
    <t>собственное потребление мощности</t>
  </si>
  <si>
    <t>Переток мощности в другие сетевые организации</t>
  </si>
  <si>
    <t>Баланс электрической энергии ОАО ВЗПО "Техника"</t>
  </si>
  <si>
    <t>Баланс мощности ОАО ВЗПО "Техника"</t>
  </si>
  <si>
    <t>Баланс электрической энергии по сетям ВН, СН1, СН2, и НН ОАО ВЗПО "Техника"</t>
  </si>
  <si>
    <t>Электрическая мощность по диапазонам напряжения ОАО ВЗПО "Техника"</t>
  </si>
  <si>
    <t>из сетей других оганизаций (ГЖД)</t>
  </si>
  <si>
    <t>2011 план</t>
  </si>
  <si>
    <t>план 2011 год</t>
  </si>
  <si>
    <t xml:space="preserve">Генеральный директор </t>
  </si>
  <si>
    <t>Начальник энергослужбы</t>
  </si>
  <si>
    <t>С.Д. Данилкин</t>
  </si>
  <si>
    <t>С.П. Привезенцев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</si>
</sst>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General_)"/>
    <numFmt numFmtId="166" formatCode="_-* #,##0.0_р_._-;\-* #,##0.0_р_._-;_-* &quot;-&quot;??_р_._-;_-@_-"/>
    <numFmt numFmtId="167" formatCode="#,##0.000"/>
    <numFmt numFmtId="168" formatCode="#,##0.0000"/>
    <numFmt numFmtId="169" formatCode="#,##0.0"/>
    <numFmt numFmtId="170" formatCode="#,##0.00000"/>
    <numFmt numFmtId="171" formatCode="0.0000000"/>
    <numFmt numFmtId="172" formatCode="0.000000"/>
    <numFmt numFmtId="173" formatCode="0.00000"/>
    <numFmt numFmtId="174" formatCode="0.0000"/>
  </numFmts>
  <fonts count="41"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NTHarmonica"/>
      <family val="0"/>
    </font>
    <font>
      <sz val="8"/>
      <name val="Arial Cyr"/>
      <family val="0"/>
    </font>
    <font>
      <b/>
      <sz val="12"/>
      <name val="Franklin Gothic Medium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ahoma"/>
      <family val="0"/>
    </font>
    <font>
      <b/>
      <sz val="10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164" fontId="2" fillId="0" borderId="0" applyFont="0" applyFill="0" applyBorder="0" applyAlignment="0" applyProtection="0"/>
    <xf numFmtId="49" fontId="3" fillId="0" borderId="0" applyBorder="0">
      <alignment vertical="top"/>
      <protection/>
    </xf>
    <xf numFmtId="0" fontId="4" fillId="0" borderId="0">
      <alignment/>
      <protection/>
    </xf>
    <xf numFmtId="0" fontId="4" fillId="0" borderId="0" applyNumberFormat="0">
      <alignment horizontal="left"/>
      <protection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165" fontId="0" fillId="0" borderId="1">
      <alignment/>
      <protection locked="0"/>
    </xf>
    <xf numFmtId="0" fontId="30" fillId="7" borderId="2" applyNumberFormat="0" applyAlignment="0" applyProtection="0"/>
    <xf numFmtId="0" fontId="31" fillId="20" borderId="3" applyNumberFormat="0" applyAlignment="0" applyProtection="0"/>
    <xf numFmtId="0" fontId="32" fillId="20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7" fillId="0" borderId="7" applyBorder="0">
      <alignment horizontal="center" vertical="center" wrapText="1"/>
      <protection/>
    </xf>
    <xf numFmtId="165" fontId="8" fillId="6" borderId="1">
      <alignment/>
      <protection/>
    </xf>
    <xf numFmtId="4" fontId="3" fillId="21" borderId="8" applyBorder="0">
      <alignment horizontal="right"/>
      <protection/>
    </xf>
    <xf numFmtId="0" fontId="37" fillId="0" borderId="9" applyNumberFormat="0" applyFill="0" applyAlignment="0" applyProtection="0"/>
    <xf numFmtId="0" fontId="34" fillId="22" borderId="10" applyNumberFormat="0" applyAlignment="0" applyProtection="0"/>
    <xf numFmtId="0" fontId="9" fillId="4" borderId="0" applyFill="0">
      <alignment wrapText="1"/>
      <protection/>
    </xf>
    <xf numFmtId="0" fontId="10" fillId="0" borderId="0">
      <alignment horizontal="center" vertical="top" wrapText="1"/>
      <protection/>
    </xf>
    <xf numFmtId="0" fontId="11" fillId="0" borderId="0">
      <alignment horizontal="centerContinuous" vertical="center" wrapText="1"/>
      <protection/>
    </xf>
    <xf numFmtId="0" fontId="23" fillId="0" borderId="0" applyNumberFormat="0" applyFill="0" applyBorder="0" applyAlignment="0" applyProtection="0"/>
    <xf numFmtId="0" fontId="29" fillId="21" borderId="0" applyNumberFormat="0" applyBorder="0" applyAlignment="0" applyProtection="0"/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33" fillId="0" borderId="12" applyNumberFormat="0" applyFill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49" fontId="9" fillId="0" borderId="0">
      <alignment horizontal="center"/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3" fillId="4" borderId="0" applyBorder="0">
      <alignment horizontal="right"/>
      <protection/>
    </xf>
    <xf numFmtId="4" fontId="3" fillId="4" borderId="0" applyFont="0" applyBorder="0">
      <alignment horizontal="right"/>
      <protection/>
    </xf>
    <xf numFmtId="4" fontId="3" fillId="7" borderId="13" applyBorder="0">
      <alignment horizontal="right"/>
      <protection/>
    </xf>
    <xf numFmtId="4" fontId="3" fillId="4" borderId="8" applyFont="0" applyBorder="0">
      <alignment horizontal="right"/>
      <protection/>
    </xf>
    <xf numFmtId="0" fontId="27" fillId="4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3" fillId="0" borderId="0" xfId="65">
      <alignment vertical="top"/>
      <protection/>
    </xf>
    <xf numFmtId="49" fontId="3" fillId="0" borderId="0" xfId="65" applyAlignment="1">
      <alignment vertical="top" wrapText="1"/>
      <protection/>
    </xf>
    <xf numFmtId="49" fontId="3" fillId="0" borderId="0" xfId="65" applyAlignment="1">
      <alignment horizontal="right" vertical="top"/>
      <protection/>
    </xf>
    <xf numFmtId="0" fontId="7" fillId="0" borderId="8" xfId="55" applyBorder="1">
      <alignment horizontal="center" vertical="center" wrapText="1"/>
      <protection/>
    </xf>
    <xf numFmtId="49" fontId="3" fillId="0" borderId="0" xfId="66">
      <alignment vertical="top"/>
      <protection/>
    </xf>
    <xf numFmtId="49" fontId="3" fillId="0" borderId="0" xfId="66" applyAlignment="1">
      <alignment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right" vertical="top"/>
    </xf>
    <xf numFmtId="0" fontId="16" fillId="0" borderId="14" xfId="55" applyFont="1" applyBorder="1">
      <alignment horizontal="center" vertical="center" wrapText="1"/>
      <protection/>
    </xf>
    <xf numFmtId="0" fontId="16" fillId="0" borderId="15" xfId="55" applyFont="1" applyBorder="1">
      <alignment horizontal="center" vertical="center" wrapText="1"/>
      <protection/>
    </xf>
    <xf numFmtId="0" fontId="0" fillId="0" borderId="0" xfId="0" applyFont="1" applyAlignment="1">
      <alignment/>
    </xf>
    <xf numFmtId="167" fontId="17" fillId="0" borderId="8" xfId="81" applyNumberFormat="1" applyFont="1" applyFill="1" applyBorder="1" applyAlignment="1">
      <alignment horizontal="center"/>
      <protection/>
    </xf>
    <xf numFmtId="167" fontId="17" fillId="0" borderId="8" xfId="57" applyNumberFormat="1" applyFont="1" applyFill="1" applyBorder="1" applyAlignment="1">
      <alignment horizontal="center"/>
      <protection/>
    </xf>
    <xf numFmtId="167" fontId="17" fillId="0" borderId="16" xfId="57" applyNumberFormat="1" applyFont="1" applyFill="1" applyBorder="1">
      <alignment horizontal="right"/>
      <protection/>
    </xf>
    <xf numFmtId="167" fontId="17" fillId="0" borderId="16" xfId="57" applyNumberFormat="1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top" wrapText="1"/>
    </xf>
    <xf numFmtId="167" fontId="17" fillId="0" borderId="0" xfId="81" applyNumberFormat="1" applyFont="1" applyFill="1" applyBorder="1">
      <alignment horizontal="right"/>
      <protection/>
    </xf>
    <xf numFmtId="167" fontId="17" fillId="0" borderId="0" xfId="57" applyNumberFormat="1" applyFont="1" applyFill="1" applyBorder="1">
      <alignment horizontal="right"/>
      <protection/>
    </xf>
    <xf numFmtId="167" fontId="17" fillId="0" borderId="0" xfId="81" applyNumberFormat="1" applyFont="1" applyFill="1" applyBorder="1" applyAlignment="1">
      <alignment horizontal="center"/>
      <protection/>
    </xf>
    <xf numFmtId="167" fontId="17" fillId="0" borderId="0" xfId="57" applyNumberFormat="1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19" fillId="0" borderId="17" xfId="55" applyFont="1" applyBorder="1">
      <alignment horizontal="center" vertical="center" wrapText="1"/>
      <protection/>
    </xf>
    <xf numFmtId="0" fontId="19" fillId="0" borderId="18" xfId="55" applyFont="1" applyBorder="1">
      <alignment horizontal="center" vertical="center" wrapText="1"/>
      <protection/>
    </xf>
    <xf numFmtId="0" fontId="19" fillId="0" borderId="19" xfId="55" applyFont="1" applyBorder="1">
      <alignment horizontal="center" vertical="center" wrapText="1"/>
      <protection/>
    </xf>
    <xf numFmtId="0" fontId="16" fillId="0" borderId="20" xfId="55" applyFont="1" applyBorder="1">
      <alignment horizontal="center" vertical="center" wrapText="1"/>
      <protection/>
    </xf>
    <xf numFmtId="0" fontId="16" fillId="0" borderId="21" xfId="55" applyFont="1" applyBorder="1">
      <alignment horizontal="center" vertical="center" wrapText="1"/>
      <protection/>
    </xf>
    <xf numFmtId="3" fontId="17" fillId="4" borderId="13" xfId="81" applyNumberFormat="1" applyFont="1" applyBorder="1" applyAlignment="1">
      <alignment horizontal="center"/>
      <protection/>
    </xf>
    <xf numFmtId="3" fontId="17" fillId="4" borderId="22" xfId="81" applyNumberFormat="1" applyFont="1" applyBorder="1" applyAlignment="1">
      <alignment horizontal="center"/>
      <protection/>
    </xf>
    <xf numFmtId="3" fontId="17" fillId="4" borderId="23" xfId="81" applyNumberFormat="1" applyFont="1" applyBorder="1" applyAlignment="1">
      <alignment horizontal="center"/>
      <protection/>
    </xf>
    <xf numFmtId="3" fontId="17" fillId="0" borderId="24" xfId="81" applyNumberFormat="1" applyFont="1" applyFill="1" applyBorder="1" applyAlignment="1">
      <alignment horizontal="center"/>
      <protection/>
    </xf>
    <xf numFmtId="3" fontId="17" fillId="0" borderId="8" xfId="81" applyNumberFormat="1" applyFont="1" applyFill="1" applyBorder="1" applyAlignment="1">
      <alignment horizontal="center"/>
      <protection/>
    </xf>
    <xf numFmtId="3" fontId="17" fillId="4" borderId="8" xfId="81" applyNumberFormat="1" applyFont="1" applyBorder="1" applyAlignment="1">
      <alignment horizontal="center"/>
      <protection/>
    </xf>
    <xf numFmtId="3" fontId="17" fillId="4" borderId="16" xfId="81" applyNumberFormat="1" applyFont="1" applyBorder="1" applyAlignment="1">
      <alignment horizontal="center"/>
      <protection/>
    </xf>
    <xf numFmtId="3" fontId="17" fillId="0" borderId="16" xfId="81" applyNumberFormat="1" applyFont="1" applyFill="1" applyBorder="1" applyAlignment="1">
      <alignment horizontal="center"/>
      <protection/>
    </xf>
    <xf numFmtId="3" fontId="17" fillId="4" borderId="24" xfId="81" applyNumberFormat="1" applyFont="1" applyBorder="1" applyAlignment="1">
      <alignment horizontal="center"/>
      <protection/>
    </xf>
    <xf numFmtId="167" fontId="3" fillId="0" borderId="8" xfId="80" applyNumberFormat="1" applyFill="1" applyBorder="1">
      <alignment horizontal="right"/>
      <protection/>
    </xf>
    <xf numFmtId="0" fontId="7" fillId="0" borderId="8" xfId="55" applyFill="1" applyBorder="1">
      <alignment horizontal="center" vertical="center" wrapText="1"/>
      <protection/>
    </xf>
    <xf numFmtId="49" fontId="3" fillId="0" borderId="8" xfId="65" applyFill="1" applyBorder="1">
      <alignment vertical="top"/>
      <protection/>
    </xf>
    <xf numFmtId="49" fontId="3" fillId="0" borderId="8" xfId="65" applyFill="1" applyBorder="1" applyAlignment="1">
      <alignment vertical="top" wrapText="1"/>
      <protection/>
    </xf>
    <xf numFmtId="170" fontId="3" fillId="0" borderId="8" xfId="80" applyNumberFormat="1" applyFill="1" applyBorder="1">
      <alignment horizontal="right"/>
      <protection/>
    </xf>
    <xf numFmtId="170" fontId="3" fillId="0" borderId="8" xfId="65" applyNumberFormat="1" applyFill="1" applyBorder="1">
      <alignment vertical="top"/>
      <protection/>
    </xf>
    <xf numFmtId="170" fontId="3" fillId="0" borderId="8" xfId="57" applyNumberFormat="1" applyFill="1" applyBorder="1">
      <alignment horizontal="right"/>
      <protection/>
    </xf>
    <xf numFmtId="170" fontId="3" fillId="0" borderId="8" xfId="80" applyNumberFormat="1" applyFont="1" applyFill="1" applyBorder="1">
      <alignment horizontal="right"/>
      <protection/>
    </xf>
    <xf numFmtId="170" fontId="3" fillId="0" borderId="8" xfId="57" applyNumberFormat="1" applyFont="1" applyFill="1" applyBorder="1">
      <alignment horizontal="right"/>
      <protection/>
    </xf>
    <xf numFmtId="49" fontId="3" fillId="0" borderId="8" xfId="66" applyBorder="1">
      <alignment vertical="top"/>
      <protection/>
    </xf>
    <xf numFmtId="49" fontId="3" fillId="0" borderId="8" xfId="66" applyBorder="1" applyAlignment="1">
      <alignment vertical="top" wrapText="1"/>
      <protection/>
    </xf>
    <xf numFmtId="49" fontId="3" fillId="0" borderId="8" xfId="66" applyFont="1" applyBorder="1">
      <alignment vertical="top"/>
      <protection/>
    </xf>
    <xf numFmtId="49" fontId="3" fillId="0" borderId="8" xfId="66" applyFont="1" applyBorder="1" applyAlignment="1">
      <alignment vertical="top" wrapText="1"/>
      <protection/>
    </xf>
    <xf numFmtId="167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17" fillId="0" borderId="8" xfId="81" applyNumberFormat="1" applyFont="1" applyFill="1" applyBorder="1" applyAlignment="1">
      <alignment horizontal="center"/>
      <protection/>
    </xf>
    <xf numFmtId="170" fontId="17" fillId="0" borderId="8" xfId="57" applyNumberFormat="1" applyFont="1" applyFill="1" applyBorder="1" applyAlignment="1">
      <alignment horizontal="center"/>
      <protection/>
    </xf>
    <xf numFmtId="170" fontId="17" fillId="0" borderId="16" xfId="57" applyNumberFormat="1" applyFont="1" applyFill="1" applyBorder="1">
      <alignment horizontal="right"/>
      <protection/>
    </xf>
    <xf numFmtId="0" fontId="17" fillId="0" borderId="24" xfId="0" applyFont="1" applyFill="1" applyBorder="1" applyAlignment="1">
      <alignment/>
    </xf>
    <xf numFmtId="0" fontId="17" fillId="0" borderId="25" xfId="0" applyFont="1" applyFill="1" applyBorder="1" applyAlignment="1">
      <alignment vertical="top" wrapText="1"/>
    </xf>
    <xf numFmtId="174" fontId="0" fillId="0" borderId="0" xfId="0" applyNumberFormat="1" applyAlignment="1">
      <alignment/>
    </xf>
    <xf numFmtId="174" fontId="0" fillId="0" borderId="8" xfId="0" applyNumberFormat="1" applyBorder="1" applyAlignment="1">
      <alignment/>
    </xf>
    <xf numFmtId="170" fontId="17" fillId="0" borderId="16" xfId="57" applyNumberFormat="1" applyFont="1" applyFill="1" applyBorder="1" applyAlignment="1">
      <alignment horizontal="center"/>
      <protection/>
    </xf>
    <xf numFmtId="0" fontId="19" fillId="0" borderId="26" xfId="55" applyFont="1" applyBorder="1" applyAlignment="1">
      <alignment horizontal="center" vertical="center" wrapText="1"/>
      <protection/>
    </xf>
    <xf numFmtId="0" fontId="7" fillId="0" borderId="8" xfId="55" applyFont="1" applyFill="1" applyBorder="1">
      <alignment horizontal="center" vertical="center" wrapText="1"/>
      <protection/>
    </xf>
    <xf numFmtId="0" fontId="7" fillId="0" borderId="8" xfId="55" applyFill="1" applyBorder="1">
      <alignment horizontal="center" vertical="center" wrapText="1"/>
      <protection/>
    </xf>
    <xf numFmtId="0" fontId="15" fillId="0" borderId="0" xfId="50" applyFont="1" applyAlignment="1">
      <alignment horizontal="center" vertical="center" wrapText="1"/>
      <protection/>
    </xf>
    <xf numFmtId="0" fontId="7" fillId="0" borderId="8" xfId="55" applyFill="1" applyBorder="1" applyAlignment="1">
      <alignment horizontal="center" vertical="center" wrapText="1"/>
      <protection/>
    </xf>
    <xf numFmtId="0" fontId="7" fillId="0" borderId="8" xfId="55" applyBorder="1">
      <alignment horizontal="center" vertical="center" wrapText="1"/>
      <protection/>
    </xf>
    <xf numFmtId="0" fontId="7" fillId="0" borderId="8" xfId="55" applyBorder="1" applyAlignment="1">
      <alignment horizontal="center" vertical="center" wrapText="1"/>
      <protection/>
    </xf>
    <xf numFmtId="0" fontId="18" fillId="0" borderId="0" xfId="50" applyFont="1" applyAlignment="1">
      <alignment horizontal="center" vertical="center" wrapText="1"/>
      <protection/>
    </xf>
    <xf numFmtId="0" fontId="19" fillId="0" borderId="27" xfId="55" applyFont="1" applyBorder="1" applyAlignment="1">
      <alignment horizontal="center" vertical="center" wrapText="1"/>
      <protection/>
    </xf>
    <xf numFmtId="0" fontId="19" fillId="0" borderId="28" xfId="55" applyFont="1" applyBorder="1" applyAlignment="1">
      <alignment horizontal="center" vertical="center" wrapText="1"/>
      <protection/>
    </xf>
    <xf numFmtId="0" fontId="19" fillId="0" borderId="29" xfId="55" applyFont="1" applyBorder="1" applyAlignment="1">
      <alignment horizontal="center" vertical="center" wrapText="1"/>
      <protection/>
    </xf>
    <xf numFmtId="0" fontId="19" fillId="0" borderId="30" xfId="55" applyFont="1" applyBorder="1" applyAlignment="1">
      <alignment horizontal="center" vertical="center" wrapText="1"/>
      <protection/>
    </xf>
    <xf numFmtId="0" fontId="19" fillId="0" borderId="31" xfId="55" applyFont="1" applyBorder="1" applyAlignment="1">
      <alignment horizontal="center" vertical="center" wrapText="1"/>
      <protection/>
    </xf>
    <xf numFmtId="3" fontId="17" fillId="4" borderId="32" xfId="81" applyNumberFormat="1" applyFont="1" applyBorder="1" applyAlignment="1">
      <alignment horizontal="center"/>
      <protection/>
    </xf>
    <xf numFmtId="3" fontId="17" fillId="4" borderId="33" xfId="81" applyNumberFormat="1" applyFont="1" applyBorder="1" applyAlignment="1">
      <alignment horizontal="center"/>
      <protection/>
    </xf>
    <xf numFmtId="3" fontId="17" fillId="4" borderId="34" xfId="81" applyNumberFormat="1" applyFont="1" applyBorder="1" applyAlignment="1">
      <alignment horizontal="center"/>
      <protection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35" xfId="55" applyFont="1" applyFill="1" applyBorder="1" applyAlignment="1">
      <alignment horizontal="center" vertical="center" wrapText="1"/>
      <protection/>
    </xf>
    <xf numFmtId="0" fontId="19" fillId="0" borderId="2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37" xfId="55" applyFont="1" applyFill="1" applyBorder="1" applyAlignment="1">
      <alignment horizontal="center" vertical="center" wrapText="1"/>
      <protection/>
    </xf>
    <xf numFmtId="0" fontId="19" fillId="0" borderId="38" xfId="55" applyFont="1" applyFill="1" applyBorder="1">
      <alignment horizontal="center" vertical="center" wrapText="1"/>
      <protection/>
    </xf>
    <xf numFmtId="0" fontId="19" fillId="0" borderId="22" xfId="55" applyFont="1" applyFill="1" applyBorder="1">
      <alignment horizontal="center" vertical="center" wrapText="1"/>
      <protection/>
    </xf>
    <xf numFmtId="0" fontId="19" fillId="0" borderId="23" xfId="55" applyFont="1" applyFill="1" applyBorder="1">
      <alignment horizontal="center" vertical="center" wrapText="1"/>
      <protection/>
    </xf>
    <xf numFmtId="0" fontId="19" fillId="0" borderId="39" xfId="55" applyFont="1" applyFill="1" applyBorder="1" applyAlignment="1">
      <alignment horizontal="center" vertical="center" wrapText="1"/>
      <protection/>
    </xf>
    <xf numFmtId="0" fontId="19" fillId="0" borderId="40" xfId="55" applyFont="1" applyFill="1" applyBorder="1">
      <alignment horizontal="center" vertical="center" wrapText="1"/>
      <protection/>
    </xf>
    <xf numFmtId="0" fontId="19" fillId="0" borderId="33" xfId="55" applyFont="1" applyFill="1" applyBorder="1">
      <alignment horizontal="center" vertical="center" wrapText="1"/>
      <protection/>
    </xf>
    <xf numFmtId="0" fontId="19" fillId="0" borderId="34" xfId="55" applyFont="1" applyFill="1" applyBorder="1">
      <alignment horizontal="center" vertical="center" wrapText="1"/>
      <protection/>
    </xf>
    <xf numFmtId="0" fontId="19" fillId="0" borderId="32" xfId="55" applyFont="1" applyFill="1" applyBorder="1">
      <alignment horizontal="center" vertical="center" wrapText="1"/>
      <protection/>
    </xf>
    <xf numFmtId="0" fontId="16" fillId="0" borderId="41" xfId="55" applyFont="1" applyFill="1" applyBorder="1">
      <alignment horizontal="center" vertical="center" wrapText="1"/>
      <protection/>
    </xf>
    <xf numFmtId="0" fontId="16" fillId="0" borderId="15" xfId="55" applyFont="1" applyFill="1" applyBorder="1" applyAlignment="1">
      <alignment horizontal="center" vertical="center" wrapText="1"/>
      <protection/>
    </xf>
    <xf numFmtId="0" fontId="16" fillId="0" borderId="20" xfId="55" applyFont="1" applyFill="1" applyBorder="1">
      <alignment horizontal="center" vertical="center" wrapText="1"/>
      <protection/>
    </xf>
    <xf numFmtId="0" fontId="16" fillId="0" borderId="14" xfId="55" applyFont="1" applyFill="1" applyBorder="1">
      <alignment horizontal="center" vertical="center" wrapText="1"/>
      <protection/>
    </xf>
    <xf numFmtId="0" fontId="16" fillId="0" borderId="42" xfId="55" applyFont="1" applyFill="1" applyBorder="1">
      <alignment horizontal="center" vertical="center" wrapText="1"/>
      <protection/>
    </xf>
    <xf numFmtId="0" fontId="16" fillId="0" borderId="21" xfId="55" applyFont="1" applyFill="1" applyBorder="1">
      <alignment horizontal="center" vertical="center" wrapText="1"/>
      <protection/>
    </xf>
    <xf numFmtId="0" fontId="16" fillId="0" borderId="15" xfId="55" applyFont="1" applyFill="1" applyBorder="1">
      <alignment horizontal="center" vertical="center" wrapText="1"/>
      <protection/>
    </xf>
    <xf numFmtId="0" fontId="17" fillId="0" borderId="13" xfId="0" applyFont="1" applyFill="1" applyBorder="1" applyAlignment="1">
      <alignment/>
    </xf>
    <xf numFmtId="0" fontId="17" fillId="0" borderId="23" xfId="0" applyFont="1" applyFill="1" applyBorder="1" applyAlignment="1">
      <alignment vertical="top" wrapText="1"/>
    </xf>
    <xf numFmtId="170" fontId="17" fillId="0" borderId="13" xfId="81" applyNumberFormat="1" applyFont="1" applyFill="1" applyBorder="1">
      <alignment horizontal="right"/>
      <protection/>
    </xf>
    <xf numFmtId="170" fontId="17" fillId="0" borderId="22" xfId="81" applyNumberFormat="1" applyFont="1" applyFill="1" applyBorder="1">
      <alignment horizontal="right"/>
      <protection/>
    </xf>
    <xf numFmtId="170" fontId="17" fillId="0" borderId="23" xfId="81" applyNumberFormat="1" applyFont="1" applyFill="1" applyBorder="1">
      <alignment horizontal="right"/>
      <protection/>
    </xf>
    <xf numFmtId="170" fontId="17" fillId="0" borderId="13" xfId="81" applyNumberFormat="1" applyFont="1" applyFill="1" applyBorder="1" applyAlignment="1">
      <alignment horizontal="center"/>
      <protection/>
    </xf>
    <xf numFmtId="170" fontId="17" fillId="0" borderId="22" xfId="81" applyNumberFormat="1" applyFont="1" applyFill="1" applyBorder="1" applyAlignment="1">
      <alignment horizontal="center"/>
      <protection/>
    </xf>
    <xf numFmtId="170" fontId="17" fillId="0" borderId="23" xfId="81" applyNumberFormat="1" applyFont="1" applyFill="1" applyBorder="1" applyAlignment="1">
      <alignment horizontal="center"/>
      <protection/>
    </xf>
    <xf numFmtId="0" fontId="17" fillId="0" borderId="16" xfId="0" applyFont="1" applyFill="1" applyBorder="1" applyAlignment="1">
      <alignment vertical="top" wrapText="1"/>
    </xf>
    <xf numFmtId="170" fontId="17" fillId="0" borderId="24" xfId="0" applyNumberFormat="1" applyFont="1" applyFill="1" applyBorder="1" applyAlignment="1">
      <alignment horizontal="center"/>
    </xf>
    <xf numFmtId="170" fontId="17" fillId="0" borderId="8" xfId="81" applyNumberFormat="1" applyFont="1" applyFill="1" applyBorder="1">
      <alignment horizontal="right"/>
      <protection/>
    </xf>
    <xf numFmtId="170" fontId="17" fillId="0" borderId="16" xfId="81" applyNumberFormat="1" applyFont="1" applyFill="1" applyBorder="1">
      <alignment horizontal="right"/>
      <protection/>
    </xf>
    <xf numFmtId="170" fontId="17" fillId="0" borderId="16" xfId="81" applyNumberFormat="1" applyFont="1" applyFill="1" applyBorder="1" applyAlignment="1">
      <alignment horizontal="center"/>
      <protection/>
    </xf>
    <xf numFmtId="170" fontId="17" fillId="0" borderId="8" xfId="0" applyNumberFormat="1" applyFont="1" applyFill="1" applyBorder="1" applyAlignment="1">
      <alignment horizontal="center"/>
    </xf>
    <xf numFmtId="170" fontId="17" fillId="0" borderId="16" xfId="0" applyNumberFormat="1" applyFont="1" applyFill="1" applyBorder="1" applyAlignment="1">
      <alignment horizontal="center"/>
    </xf>
    <xf numFmtId="170" fontId="17" fillId="0" borderId="8" xfId="57" applyNumberFormat="1" applyFont="1" applyFill="1" applyBorder="1">
      <alignment horizontal="right"/>
      <protection/>
    </xf>
    <xf numFmtId="170" fontId="17" fillId="0" borderId="24" xfId="81" applyNumberFormat="1" applyFont="1" applyFill="1" applyBorder="1">
      <alignment horizontal="right"/>
      <protection/>
    </xf>
    <xf numFmtId="170" fontId="17" fillId="0" borderId="24" xfId="81" applyNumberFormat="1" applyFont="1" applyFill="1" applyBorder="1" applyAlignment="1">
      <alignment horizontal="center"/>
      <protection/>
    </xf>
    <xf numFmtId="167" fontId="17" fillId="0" borderId="24" xfId="81" applyNumberFormat="1" applyFont="1" applyFill="1" applyBorder="1">
      <alignment horizontal="right"/>
      <protection/>
    </xf>
    <xf numFmtId="167" fontId="17" fillId="0" borderId="8" xfId="81" applyNumberFormat="1" applyFont="1" applyFill="1" applyBorder="1">
      <alignment horizontal="right"/>
      <protection/>
    </xf>
    <xf numFmtId="0" fontId="19" fillId="0" borderId="24" xfId="0" applyFont="1" applyFill="1" applyBorder="1" applyAlignment="1">
      <alignment/>
    </xf>
    <xf numFmtId="0" fontId="19" fillId="0" borderId="16" xfId="0" applyFont="1" applyFill="1" applyBorder="1" applyAlignment="1">
      <alignment vertical="top" wrapText="1"/>
    </xf>
    <xf numFmtId="0" fontId="17" fillId="0" borderId="25" xfId="0" applyFont="1" applyFill="1" applyBorder="1" applyAlignment="1">
      <alignment vertical="center" wrapText="1"/>
    </xf>
    <xf numFmtId="14" fontId="17" fillId="0" borderId="24" xfId="0" applyNumberFormat="1" applyFont="1" applyFill="1" applyBorder="1" applyAlignment="1">
      <alignment/>
    </xf>
    <xf numFmtId="0" fontId="17" fillId="0" borderId="43" xfId="0" applyFont="1" applyFill="1" applyBorder="1" applyAlignment="1">
      <alignment/>
    </xf>
    <xf numFmtId="0" fontId="17" fillId="0" borderId="44" xfId="0" applyFont="1" applyFill="1" applyBorder="1" applyAlignment="1">
      <alignment vertical="top" wrapText="1"/>
    </xf>
    <xf numFmtId="170" fontId="17" fillId="0" borderId="43" xfId="81" applyNumberFormat="1" applyFont="1" applyFill="1" applyBorder="1">
      <alignment horizontal="right"/>
      <protection/>
    </xf>
    <xf numFmtId="170" fontId="17" fillId="0" borderId="45" xfId="57" applyNumberFormat="1" applyFont="1" applyFill="1" applyBorder="1">
      <alignment horizontal="right"/>
      <protection/>
    </xf>
    <xf numFmtId="170" fontId="17" fillId="0" borderId="43" xfId="81" applyNumberFormat="1" applyFont="1" applyFill="1" applyBorder="1" applyAlignment="1">
      <alignment horizontal="center"/>
      <protection/>
    </xf>
    <xf numFmtId="170" fontId="17" fillId="0" borderId="45" xfId="57" applyNumberFormat="1" applyFont="1" applyFill="1" applyBorder="1" applyAlignment="1">
      <alignment horizontal="center"/>
      <protection/>
    </xf>
    <xf numFmtId="170" fontId="17" fillId="0" borderId="46" xfId="57" applyNumberFormat="1" applyFont="1" applyFill="1" applyBorder="1" applyAlignment="1">
      <alignment horizontal="center"/>
      <protection/>
    </xf>
    <xf numFmtId="167" fontId="1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17" fillId="0" borderId="0" xfId="0" applyNumberFormat="1" applyFont="1" applyBorder="1" applyAlignment="1">
      <alignment wrapText="1"/>
    </xf>
    <xf numFmtId="0" fontId="19" fillId="0" borderId="13" xfId="55" applyFont="1" applyFill="1" applyBorder="1">
      <alignment horizontal="center" vertical="center" wrapText="1"/>
      <protection/>
    </xf>
    <xf numFmtId="0" fontId="16" fillId="0" borderId="42" xfId="55" applyFont="1" applyFill="1" applyBorder="1" applyAlignment="1">
      <alignment horizontal="center" vertical="center" wrapText="1"/>
      <protection/>
    </xf>
    <xf numFmtId="0" fontId="17" fillId="0" borderId="47" xfId="0" applyFont="1" applyFill="1" applyBorder="1" applyAlignment="1">
      <alignment vertical="top" wrapText="1"/>
    </xf>
    <xf numFmtId="167" fontId="17" fillId="0" borderId="13" xfId="81" applyNumberFormat="1" applyFont="1" applyFill="1" applyBorder="1">
      <alignment horizontal="right"/>
      <protection/>
    </xf>
    <xf numFmtId="167" fontId="17" fillId="0" borderId="22" xfId="81" applyNumberFormat="1" applyFont="1" applyFill="1" applyBorder="1">
      <alignment horizontal="right"/>
      <protection/>
    </xf>
    <xf numFmtId="167" fontId="17" fillId="0" borderId="23" xfId="81" applyNumberFormat="1" applyFont="1" applyFill="1" applyBorder="1">
      <alignment horizontal="right"/>
      <protection/>
    </xf>
    <xf numFmtId="167" fontId="17" fillId="0" borderId="13" xfId="81" applyNumberFormat="1" applyFont="1" applyFill="1" applyBorder="1" applyAlignment="1">
      <alignment horizontal="center"/>
      <protection/>
    </xf>
    <xf numFmtId="167" fontId="17" fillId="0" borderId="22" xfId="81" applyNumberFormat="1" applyFont="1" applyFill="1" applyBorder="1" applyAlignment="1">
      <alignment horizontal="center"/>
      <protection/>
    </xf>
    <xf numFmtId="167" fontId="17" fillId="0" borderId="23" xfId="81" applyNumberFormat="1" applyFont="1" applyFill="1" applyBorder="1" applyAlignment="1">
      <alignment horizontal="center"/>
      <protection/>
    </xf>
    <xf numFmtId="167" fontId="17" fillId="0" borderId="24" xfId="0" applyNumberFormat="1" applyFont="1" applyFill="1" applyBorder="1" applyAlignment="1">
      <alignment horizontal="center"/>
    </xf>
    <xf numFmtId="167" fontId="17" fillId="0" borderId="16" xfId="81" applyNumberFormat="1" applyFont="1" applyFill="1" applyBorder="1">
      <alignment horizontal="right"/>
      <protection/>
    </xf>
    <xf numFmtId="167" fontId="17" fillId="0" borderId="16" xfId="81" applyNumberFormat="1" applyFont="1" applyFill="1" applyBorder="1" applyAlignment="1">
      <alignment horizontal="center"/>
      <protection/>
    </xf>
    <xf numFmtId="167" fontId="17" fillId="0" borderId="8" xfId="0" applyNumberFormat="1" applyFont="1" applyFill="1" applyBorder="1" applyAlignment="1">
      <alignment horizontal="center"/>
    </xf>
    <xf numFmtId="167" fontId="17" fillId="0" borderId="16" xfId="0" applyNumberFormat="1" applyFont="1" applyFill="1" applyBorder="1" applyAlignment="1">
      <alignment horizontal="center"/>
    </xf>
    <xf numFmtId="167" fontId="17" fillId="0" borderId="8" xfId="57" applyNumberFormat="1" applyFont="1" applyFill="1" applyBorder="1">
      <alignment horizontal="right"/>
      <protection/>
    </xf>
    <xf numFmtId="167" fontId="17" fillId="0" borderId="24" xfId="81" applyNumberFormat="1" applyFont="1" applyFill="1" applyBorder="1" applyAlignment="1">
      <alignment horizontal="center"/>
      <protection/>
    </xf>
    <xf numFmtId="0" fontId="17" fillId="0" borderId="48" xfId="0" applyFont="1" applyFill="1" applyBorder="1" applyAlignment="1">
      <alignment vertical="top" wrapText="1"/>
    </xf>
    <xf numFmtId="167" fontId="17" fillId="0" borderId="43" xfId="81" applyNumberFormat="1" applyFont="1" applyFill="1" applyBorder="1">
      <alignment horizontal="right"/>
      <protection/>
    </xf>
    <xf numFmtId="167" fontId="17" fillId="0" borderId="45" xfId="57" applyNumberFormat="1" applyFont="1" applyFill="1" applyBorder="1">
      <alignment horizontal="right"/>
      <protection/>
    </xf>
    <xf numFmtId="167" fontId="17" fillId="0" borderId="43" xfId="81" applyNumberFormat="1" applyFont="1" applyFill="1" applyBorder="1" applyAlignment="1">
      <alignment horizontal="center"/>
      <protection/>
    </xf>
    <xf numFmtId="167" fontId="17" fillId="0" borderId="45" xfId="57" applyNumberFormat="1" applyFont="1" applyFill="1" applyBorder="1" applyAlignment="1">
      <alignment horizontal="center"/>
      <protection/>
    </xf>
    <xf numFmtId="167" fontId="17" fillId="0" borderId="46" xfId="57" applyNumberFormat="1" applyFont="1" applyFill="1" applyBorder="1" applyAlignment="1">
      <alignment horizontal="center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_Лист1" xfId="65"/>
    <cellStyle name="Обычный_Лист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_Баланс 2 электроэнергии и мощности на транзит (ОСВАР)" xfId="81"/>
    <cellStyle name="ФормулаВБ" xfId="82"/>
    <cellStyle name="ФормулаНаКонтроль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2.75"/>
  <cols>
    <col min="2" max="2" width="40.00390625" style="0" customWidth="1"/>
    <col min="7" max="7" width="9.00390625" style="0" bestFit="1" customWidth="1"/>
  </cols>
  <sheetData>
    <row r="1" spans="1:7" ht="16.5">
      <c r="A1" s="64" t="s">
        <v>66</v>
      </c>
      <c r="B1" s="64"/>
      <c r="C1" s="64"/>
      <c r="D1" s="64"/>
      <c r="E1" s="64"/>
      <c r="F1" s="64"/>
      <c r="G1" s="64"/>
    </row>
    <row r="2" spans="1:7" ht="12.75">
      <c r="A2" s="1"/>
      <c r="B2" s="2"/>
      <c r="C2" s="1"/>
      <c r="D2" s="1"/>
      <c r="E2" s="1"/>
      <c r="F2" s="1"/>
      <c r="G2" s="3" t="s">
        <v>9</v>
      </c>
    </row>
    <row r="3" spans="1:7" ht="12.75" customHeight="1">
      <c r="A3" s="63" t="s">
        <v>10</v>
      </c>
      <c r="B3" s="65" t="s">
        <v>0</v>
      </c>
      <c r="C3" s="62" t="s">
        <v>71</v>
      </c>
      <c r="D3" s="63"/>
      <c r="E3" s="63"/>
      <c r="F3" s="63"/>
      <c r="G3" s="63"/>
    </row>
    <row r="4" spans="1:7" ht="12.75">
      <c r="A4" s="63"/>
      <c r="B4" s="65"/>
      <c r="C4" s="39" t="s">
        <v>11</v>
      </c>
      <c r="D4" s="39" t="s">
        <v>1</v>
      </c>
      <c r="E4" s="39" t="s">
        <v>2</v>
      </c>
      <c r="F4" s="39" t="s">
        <v>3</v>
      </c>
      <c r="G4" s="39" t="s">
        <v>4</v>
      </c>
    </row>
    <row r="5" spans="1:7" ht="12.75">
      <c r="A5" s="40" t="s">
        <v>5</v>
      </c>
      <c r="B5" s="41" t="s">
        <v>12</v>
      </c>
      <c r="C5" s="42">
        <f>F5</f>
        <v>16.07</v>
      </c>
      <c r="D5" s="42"/>
      <c r="E5" s="42"/>
      <c r="F5" s="42">
        <f>F14</f>
        <v>16.07</v>
      </c>
      <c r="G5" s="42">
        <f>G11</f>
        <v>3.670604000000001</v>
      </c>
    </row>
    <row r="6" spans="1:7" ht="12.75">
      <c r="A6" s="40" t="s">
        <v>13</v>
      </c>
      <c r="B6" s="41" t="s">
        <v>14</v>
      </c>
      <c r="C6" s="42"/>
      <c r="D6" s="42"/>
      <c r="E6" s="42"/>
      <c r="F6" s="42"/>
      <c r="G6" s="42"/>
    </row>
    <row r="7" spans="1:7" ht="12.75">
      <c r="A7" s="40"/>
      <c r="B7" s="41" t="s">
        <v>15</v>
      </c>
      <c r="C7" s="43"/>
      <c r="D7" s="43"/>
      <c r="E7" s="43"/>
      <c r="F7" s="43"/>
      <c r="G7" s="43"/>
    </row>
    <row r="8" spans="1:7" ht="12.75">
      <c r="A8" s="40"/>
      <c r="B8" s="41" t="s">
        <v>16</v>
      </c>
      <c r="C8" s="43"/>
      <c r="D8" s="43"/>
      <c r="E8" s="43"/>
      <c r="F8" s="43"/>
      <c r="G8" s="43"/>
    </row>
    <row r="9" spans="1:7" ht="12.75">
      <c r="A9" s="40"/>
      <c r="B9" s="41" t="s">
        <v>1</v>
      </c>
      <c r="C9" s="43"/>
      <c r="D9" s="44"/>
      <c r="E9" s="44"/>
      <c r="F9" s="44"/>
      <c r="G9" s="44"/>
    </row>
    <row r="10" spans="1:7" ht="12.75">
      <c r="A10" s="40"/>
      <c r="B10" s="41" t="s">
        <v>2</v>
      </c>
      <c r="C10" s="43"/>
      <c r="D10" s="44"/>
      <c r="E10" s="44"/>
      <c r="F10" s="44"/>
      <c r="G10" s="44"/>
    </row>
    <row r="11" spans="1:7" ht="12.75">
      <c r="A11" s="40"/>
      <c r="B11" s="41" t="s">
        <v>3</v>
      </c>
      <c r="C11" s="43"/>
      <c r="D11" s="44"/>
      <c r="E11" s="44"/>
      <c r="F11" s="44"/>
      <c r="G11" s="44">
        <f>F5-F15-F17-F18</f>
        <v>3.670604000000001</v>
      </c>
    </row>
    <row r="12" spans="1:7" ht="12.75">
      <c r="A12" s="40" t="s">
        <v>17</v>
      </c>
      <c r="B12" s="41" t="s">
        <v>18</v>
      </c>
      <c r="C12" s="42"/>
      <c r="D12" s="44"/>
      <c r="E12" s="44"/>
      <c r="F12" s="44"/>
      <c r="G12" s="44"/>
    </row>
    <row r="13" spans="1:7" ht="12.75">
      <c r="A13" s="40" t="s">
        <v>19</v>
      </c>
      <c r="B13" s="41" t="s">
        <v>20</v>
      </c>
      <c r="C13" s="42"/>
      <c r="D13" s="44"/>
      <c r="E13" s="44"/>
      <c r="F13" s="44"/>
      <c r="G13" s="44"/>
    </row>
    <row r="14" spans="1:7" ht="22.5">
      <c r="A14" s="40" t="s">
        <v>21</v>
      </c>
      <c r="B14" s="41" t="s">
        <v>22</v>
      </c>
      <c r="C14" s="42">
        <f>F14</f>
        <v>16.07</v>
      </c>
      <c r="D14" s="44"/>
      <c r="E14" s="44"/>
      <c r="F14" s="44">
        <v>16.07</v>
      </c>
      <c r="G14" s="44"/>
    </row>
    <row r="15" spans="1:7" ht="12.75">
      <c r="A15" s="40" t="s">
        <v>6</v>
      </c>
      <c r="B15" s="41" t="s">
        <v>23</v>
      </c>
      <c r="C15" s="42">
        <f>C5*C16/100</f>
        <v>0.395322</v>
      </c>
      <c r="D15" s="45"/>
      <c r="E15" s="45"/>
      <c r="F15" s="45">
        <f>F5*F16/100</f>
        <v>0.36639599999999994</v>
      </c>
      <c r="G15" s="45">
        <f>C15-F15</f>
        <v>0.028926000000000063</v>
      </c>
    </row>
    <row r="16" spans="1:9" ht="12.75">
      <c r="A16" s="40"/>
      <c r="B16" s="41" t="s">
        <v>24</v>
      </c>
      <c r="C16" s="38">
        <v>2.46</v>
      </c>
      <c r="D16" s="38"/>
      <c r="E16" s="38"/>
      <c r="F16" s="38">
        <v>2.28</v>
      </c>
      <c r="G16" s="38">
        <f>G15/G5*100</f>
        <v>0.788044692372156</v>
      </c>
      <c r="I16" s="52"/>
    </row>
    <row r="17" spans="1:7" ht="12.75">
      <c r="A17" s="40" t="s">
        <v>7</v>
      </c>
      <c r="B17" s="41" t="s">
        <v>25</v>
      </c>
      <c r="C17" s="42">
        <f>F17+G17</f>
        <v>3.2416780000000007</v>
      </c>
      <c r="D17" s="42"/>
      <c r="E17" s="42"/>
      <c r="F17" s="42"/>
      <c r="G17" s="42">
        <f>G11-G15-G18</f>
        <v>3.2416780000000007</v>
      </c>
    </row>
    <row r="18" spans="1:7" ht="12.75">
      <c r="A18" s="40" t="s">
        <v>8</v>
      </c>
      <c r="B18" s="41" t="s">
        <v>26</v>
      </c>
      <c r="C18" s="42">
        <f>F18+G18</f>
        <v>12.433</v>
      </c>
      <c r="D18" s="42"/>
      <c r="E18" s="42"/>
      <c r="F18" s="42">
        <f>SUM(F19:F22)</f>
        <v>12.033</v>
      </c>
      <c r="G18" s="42">
        <f>SUM(G19:G22)</f>
        <v>0.4</v>
      </c>
    </row>
    <row r="19" spans="1:7" ht="12.75">
      <c r="A19" s="40" t="s">
        <v>27</v>
      </c>
      <c r="B19" s="41" t="s">
        <v>28</v>
      </c>
      <c r="C19" s="42">
        <f>F19+G19</f>
        <v>12.433</v>
      </c>
      <c r="D19" s="44"/>
      <c r="E19" s="44"/>
      <c r="F19" s="42">
        <v>12.033</v>
      </c>
      <c r="G19" s="46">
        <v>0.4</v>
      </c>
    </row>
    <row r="20" spans="1:7" ht="12.75">
      <c r="A20" s="40" t="s">
        <v>29</v>
      </c>
      <c r="B20" s="41" t="s">
        <v>30</v>
      </c>
      <c r="C20" s="42"/>
      <c r="D20" s="44"/>
      <c r="E20" s="44"/>
      <c r="F20" s="44"/>
      <c r="G20" s="44"/>
    </row>
    <row r="21" spans="1:7" ht="12.75">
      <c r="A21" s="40" t="s">
        <v>31</v>
      </c>
      <c r="B21" s="41" t="s">
        <v>32</v>
      </c>
      <c r="C21" s="42"/>
      <c r="D21" s="44"/>
      <c r="E21" s="44"/>
      <c r="F21" s="44"/>
      <c r="G21" s="44"/>
    </row>
    <row r="22" spans="1:7" ht="12.75">
      <c r="A22" s="40" t="s">
        <v>33</v>
      </c>
      <c r="B22" s="41" t="s">
        <v>34</v>
      </c>
      <c r="C22" s="42"/>
      <c r="D22" s="44"/>
      <c r="E22" s="44"/>
      <c r="F22" s="44"/>
      <c r="G22" s="44"/>
    </row>
    <row r="24" ht="12.75">
      <c r="C24" s="52">
        <f>C5-F15-G15-F17-G17-F19-G19-F21-G21</f>
        <v>3.3306690738754696E-16</v>
      </c>
    </row>
  </sheetData>
  <sheetProtection formatColumns="0" formatRows="0"/>
  <mergeCells count="4">
    <mergeCell ref="C3:G3"/>
    <mergeCell ref="A1:G1"/>
    <mergeCell ref="A3:A4"/>
    <mergeCell ref="B3:B4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.125" style="0" customWidth="1"/>
    <col min="2" max="2" width="36.625" style="0" customWidth="1"/>
    <col min="8" max="9" width="9.625" style="0" bestFit="1" customWidth="1"/>
  </cols>
  <sheetData>
    <row r="1" spans="1:7" ht="16.5">
      <c r="A1" s="64" t="s">
        <v>67</v>
      </c>
      <c r="B1" s="64"/>
      <c r="C1" s="64"/>
      <c r="D1" s="64"/>
      <c r="E1" s="64"/>
      <c r="F1" s="64"/>
      <c r="G1" s="64"/>
    </row>
    <row r="2" spans="1:7" ht="12.75">
      <c r="A2" s="5"/>
      <c r="B2" s="6"/>
      <c r="C2" s="5"/>
      <c r="D2" s="5"/>
      <c r="E2" s="5"/>
      <c r="F2" s="5"/>
      <c r="G2" s="5"/>
    </row>
    <row r="3" spans="1:7" ht="12.75">
      <c r="A3" s="66" t="s">
        <v>10</v>
      </c>
      <c r="B3" s="67" t="s">
        <v>0</v>
      </c>
      <c r="C3" s="62" t="s">
        <v>71</v>
      </c>
      <c r="D3" s="62"/>
      <c r="E3" s="62"/>
      <c r="F3" s="62"/>
      <c r="G3" s="62"/>
    </row>
    <row r="4" spans="1:7" ht="12.75">
      <c r="A4" s="66"/>
      <c r="B4" s="67"/>
      <c r="C4" s="4" t="s">
        <v>11</v>
      </c>
      <c r="D4" s="4" t="s">
        <v>1</v>
      </c>
      <c r="E4" s="4" t="s">
        <v>2</v>
      </c>
      <c r="F4" s="4" t="s">
        <v>3</v>
      </c>
      <c r="G4" s="4" t="s">
        <v>4</v>
      </c>
    </row>
    <row r="5" spans="1:11" ht="12.75">
      <c r="A5" s="47" t="s">
        <v>5</v>
      </c>
      <c r="B5" s="48" t="s">
        <v>35</v>
      </c>
      <c r="C5" s="42">
        <f>F5</f>
        <v>3.0159044025157233</v>
      </c>
      <c r="D5" s="42"/>
      <c r="E5" s="42"/>
      <c r="F5" s="42">
        <f>F14</f>
        <v>3.0159044025157233</v>
      </c>
      <c r="G5" s="42">
        <f>G11</f>
        <v>0.9416417821383649</v>
      </c>
      <c r="H5" s="59">
        <v>5.328418230563003</v>
      </c>
      <c r="I5" s="59">
        <v>4.403366835715392</v>
      </c>
      <c r="J5" s="58">
        <f>ЭЭ!F5/мощн!F5</f>
        <v>5.328418230563003</v>
      </c>
      <c r="K5" s="58">
        <f>ЭЭ!G5/мощн!G5</f>
        <v>3.8980895597734233</v>
      </c>
    </row>
    <row r="6" spans="1:11" ht="12.75">
      <c r="A6" s="47" t="s">
        <v>13</v>
      </c>
      <c r="B6" s="48" t="s">
        <v>14</v>
      </c>
      <c r="C6" s="42"/>
      <c r="D6" s="42"/>
      <c r="E6" s="42"/>
      <c r="F6" s="42"/>
      <c r="G6" s="42"/>
      <c r="H6" s="59"/>
      <c r="I6" s="59"/>
      <c r="J6" s="58"/>
      <c r="K6" s="58"/>
    </row>
    <row r="7" spans="1:11" ht="12.75">
      <c r="A7" s="47"/>
      <c r="B7" s="48" t="s">
        <v>15</v>
      </c>
      <c r="C7" s="43"/>
      <c r="D7" s="43"/>
      <c r="E7" s="43"/>
      <c r="F7" s="43"/>
      <c r="G7" s="43"/>
      <c r="H7" s="59"/>
      <c r="I7" s="59"/>
      <c r="J7" s="58"/>
      <c r="K7" s="58"/>
    </row>
    <row r="8" spans="1:11" ht="12.75">
      <c r="A8" s="47"/>
      <c r="B8" s="48" t="s">
        <v>16</v>
      </c>
      <c r="C8" s="43"/>
      <c r="D8" s="43"/>
      <c r="E8" s="43"/>
      <c r="F8" s="43"/>
      <c r="G8" s="43"/>
      <c r="H8" s="59"/>
      <c r="I8" s="59"/>
      <c r="J8" s="58"/>
      <c r="K8" s="58"/>
    </row>
    <row r="9" spans="1:11" ht="12.75">
      <c r="A9" s="47"/>
      <c r="B9" s="48" t="s">
        <v>1</v>
      </c>
      <c r="C9" s="43"/>
      <c r="D9" s="44"/>
      <c r="E9" s="44"/>
      <c r="F9" s="44"/>
      <c r="G9" s="44"/>
      <c r="H9" s="59"/>
      <c r="I9" s="59"/>
      <c r="J9" s="58"/>
      <c r="K9" s="58"/>
    </row>
    <row r="10" spans="1:11" ht="12.75">
      <c r="A10" s="47"/>
      <c r="B10" s="48" t="s">
        <v>2</v>
      </c>
      <c r="C10" s="43"/>
      <c r="D10" s="44"/>
      <c r="E10" s="44"/>
      <c r="F10" s="44"/>
      <c r="G10" s="44"/>
      <c r="H10" s="59"/>
      <c r="I10" s="59"/>
      <c r="J10" s="58"/>
      <c r="K10" s="58"/>
    </row>
    <row r="11" spans="1:11" ht="12.75">
      <c r="A11" s="47"/>
      <c r="B11" s="48" t="s">
        <v>3</v>
      </c>
      <c r="C11" s="43"/>
      <c r="D11" s="44"/>
      <c r="E11" s="44"/>
      <c r="F11" s="44"/>
      <c r="G11" s="44">
        <f>F5-F15-F17-F18</f>
        <v>0.9416417821383649</v>
      </c>
      <c r="H11" s="59"/>
      <c r="I11" s="59">
        <v>4.403366835715392</v>
      </c>
      <c r="J11" s="58"/>
      <c r="K11" s="58">
        <f>ЭЭ!G11/мощн!G11</f>
        <v>3.8980895597734233</v>
      </c>
    </row>
    <row r="12" spans="1:11" ht="12.75">
      <c r="A12" s="47" t="s">
        <v>17</v>
      </c>
      <c r="B12" s="48" t="s">
        <v>18</v>
      </c>
      <c r="C12" s="42"/>
      <c r="D12" s="44"/>
      <c r="E12" s="44"/>
      <c r="F12" s="44"/>
      <c r="G12" s="44"/>
      <c r="H12" s="59"/>
      <c r="I12" s="59"/>
      <c r="J12" s="58"/>
      <c r="K12" s="58"/>
    </row>
    <row r="13" spans="1:11" ht="22.5">
      <c r="A13" s="47" t="s">
        <v>19</v>
      </c>
      <c r="B13" s="48" t="s">
        <v>20</v>
      </c>
      <c r="C13" s="42"/>
      <c r="D13" s="44"/>
      <c r="E13" s="44"/>
      <c r="F13" s="44"/>
      <c r="G13" s="44"/>
      <c r="H13" s="59"/>
      <c r="I13" s="59"/>
      <c r="J13" s="58"/>
      <c r="K13" s="58"/>
    </row>
    <row r="14" spans="1:11" ht="12.75">
      <c r="A14" s="47" t="s">
        <v>21</v>
      </c>
      <c r="B14" s="48" t="s">
        <v>36</v>
      </c>
      <c r="C14" s="42">
        <f>F14</f>
        <v>3.0159044025157233</v>
      </c>
      <c r="D14" s="44"/>
      <c r="E14" s="44"/>
      <c r="F14" s="46">
        <f>ЭЭ!F14/мощн!H14</f>
        <v>3.0159044025157233</v>
      </c>
      <c r="G14" s="44"/>
      <c r="H14" s="59">
        <v>5.328418230563003</v>
      </c>
      <c r="I14" s="59"/>
      <c r="J14" s="58">
        <f>ЭЭ!F14/мощн!F14</f>
        <v>5.328418230563003</v>
      </c>
      <c r="K14" s="58"/>
    </row>
    <row r="15" spans="1:11" ht="12.75">
      <c r="A15" s="47" t="s">
        <v>6</v>
      </c>
      <c r="B15" s="48" t="s">
        <v>37</v>
      </c>
      <c r="C15" s="42">
        <f>SUM(F15:G15)</f>
        <v>0.07618317846265846</v>
      </c>
      <c r="D15" s="45"/>
      <c r="E15" s="45"/>
      <c r="F15" s="45">
        <f>F5*F16/100</f>
        <v>0.06876262037735849</v>
      </c>
      <c r="G15" s="45">
        <f>G5*G16/100</f>
        <v>0.007420558085299966</v>
      </c>
      <c r="H15" s="59">
        <v>5.328418230563003</v>
      </c>
      <c r="I15" s="59">
        <v>4.403366835715392</v>
      </c>
      <c r="J15" s="58">
        <f>ЭЭ!F15/мощн!F15</f>
        <v>5.328418230563002</v>
      </c>
      <c r="K15" s="58">
        <f>ЭЭ!G15/мощн!G15</f>
        <v>3.8980895597734238</v>
      </c>
    </row>
    <row r="16" spans="1:11" ht="12.75">
      <c r="A16" s="47"/>
      <c r="B16" s="48" t="s">
        <v>38</v>
      </c>
      <c r="C16" s="38">
        <f>C15/C5*100</f>
        <v>2.52604752322753</v>
      </c>
      <c r="D16" s="38"/>
      <c r="E16" s="38"/>
      <c r="F16" s="38">
        <f>ЭЭ!F16</f>
        <v>2.28</v>
      </c>
      <c r="G16" s="38">
        <f>ЭЭ!G16</f>
        <v>0.788044692372156</v>
      </c>
      <c r="H16" s="59"/>
      <c r="I16" s="59">
        <v>1</v>
      </c>
      <c r="J16" s="58"/>
      <c r="K16" s="58">
        <f>ЭЭ!G16/мощн!G16</f>
        <v>1</v>
      </c>
    </row>
    <row r="17" spans="1:11" ht="12.75">
      <c r="A17" s="47" t="s">
        <v>7</v>
      </c>
      <c r="B17" s="48" t="s">
        <v>39</v>
      </c>
      <c r="C17" s="42">
        <f>F17+G17</f>
        <v>0.856221224053065</v>
      </c>
      <c r="D17" s="46"/>
      <c r="E17" s="46"/>
      <c r="F17" s="46"/>
      <c r="G17" s="46">
        <f>G5-G15-G18</f>
        <v>0.856221224053065</v>
      </c>
      <c r="H17" s="59"/>
      <c r="I17" s="59">
        <v>4.136934911900349</v>
      </c>
      <c r="J17" s="58"/>
      <c r="K17" s="58">
        <f>ЭЭ!G17/мощн!G17</f>
        <v>3.786028550723119</v>
      </c>
    </row>
    <row r="18" spans="1:11" ht="22.5">
      <c r="A18" s="49" t="s">
        <v>8</v>
      </c>
      <c r="B18" s="50" t="s">
        <v>40</v>
      </c>
      <c r="C18" s="42">
        <f>F18+G18</f>
        <v>2.0835</v>
      </c>
      <c r="D18" s="42"/>
      <c r="E18" s="42"/>
      <c r="F18" s="42">
        <f>F19+F21</f>
        <v>2.0055</v>
      </c>
      <c r="G18" s="42">
        <f>G19+G21</f>
        <v>0.078</v>
      </c>
      <c r="H18" s="59">
        <v>6</v>
      </c>
      <c r="I18" s="59">
        <v>5.128205128205129</v>
      </c>
      <c r="J18" s="58">
        <f>ЭЭ!F18/мощн!F18</f>
        <v>6</v>
      </c>
      <c r="K18" s="58">
        <f>ЭЭ!G18/мощн!G18</f>
        <v>5.128205128205129</v>
      </c>
    </row>
    <row r="19" spans="1:11" ht="22.5">
      <c r="A19" s="47" t="s">
        <v>27</v>
      </c>
      <c r="B19" s="48" t="s">
        <v>41</v>
      </c>
      <c r="C19" s="42">
        <f>F19+G19</f>
        <v>2.0835</v>
      </c>
      <c r="D19" s="44"/>
      <c r="E19" s="44"/>
      <c r="F19" s="46">
        <f>ЭЭ!F19/мощн!H19</f>
        <v>2.0055</v>
      </c>
      <c r="G19" s="44">
        <f>ЭЭ!G19/мощн!I19</f>
        <v>0.078</v>
      </c>
      <c r="H19" s="59">
        <v>6</v>
      </c>
      <c r="I19" s="59">
        <v>5.128205128205129</v>
      </c>
      <c r="J19" s="58">
        <f>ЭЭ!F19/мощн!F19</f>
        <v>6</v>
      </c>
      <c r="K19" s="58">
        <f>ЭЭ!G19/мощн!G19</f>
        <v>5.128205128205129</v>
      </c>
    </row>
    <row r="20" spans="1:7" ht="22.5">
      <c r="A20" s="47" t="s">
        <v>29</v>
      </c>
      <c r="B20" s="48" t="s">
        <v>42</v>
      </c>
      <c r="C20" s="42"/>
      <c r="D20" s="44"/>
      <c r="E20" s="44"/>
      <c r="F20" s="44"/>
      <c r="G20" s="44"/>
    </row>
    <row r="21" spans="1:7" ht="12.75">
      <c r="A21" s="47" t="s">
        <v>31</v>
      </c>
      <c r="B21" s="48" t="s">
        <v>43</v>
      </c>
      <c r="C21" s="42"/>
      <c r="D21" s="44"/>
      <c r="E21" s="44"/>
      <c r="F21" s="44"/>
      <c r="G21" s="44"/>
    </row>
    <row r="22" spans="1:7" ht="12.75">
      <c r="A22" s="47" t="s">
        <v>33</v>
      </c>
      <c r="B22" s="48" t="s">
        <v>34</v>
      </c>
      <c r="C22" s="42"/>
      <c r="D22" s="44"/>
      <c r="E22" s="44"/>
      <c r="F22" s="44"/>
      <c r="G22" s="44"/>
    </row>
    <row r="24" ht="12.75">
      <c r="C24" s="52">
        <f>C5-F15-G15-F17-G17-F19-G19-F21-G21</f>
        <v>-1.5265566588595902E-16</v>
      </c>
    </row>
  </sheetData>
  <sheetProtection formatColumns="0" formatRows="0"/>
  <mergeCells count="4">
    <mergeCell ref="C3:G3"/>
    <mergeCell ref="A3:A4"/>
    <mergeCell ref="B3:B4"/>
    <mergeCell ref="A1:G1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view="pageBreakPreview" zoomScale="75" zoomScaleSheetLayoutView="75" zoomScalePageLayoutView="0" workbookViewId="0" topLeftCell="A1">
      <selection activeCell="D34" sqref="D34:D35"/>
    </sheetView>
  </sheetViews>
  <sheetFormatPr defaultColWidth="9.00390625" defaultRowHeight="12.75"/>
  <cols>
    <col min="1" max="1" width="8.25390625" style="0" customWidth="1"/>
    <col min="2" max="2" width="28.625" style="0" customWidth="1"/>
    <col min="3" max="3" width="14.875" style="0" customWidth="1"/>
    <col min="4" max="4" width="15.25390625" style="0" customWidth="1"/>
    <col min="5" max="5" width="13.375" style="0" customWidth="1"/>
    <col min="6" max="6" width="13.875" style="0" customWidth="1"/>
    <col min="7" max="7" width="13.75390625" style="0" customWidth="1"/>
    <col min="8" max="8" width="14.25390625" style="0" customWidth="1"/>
    <col min="9" max="9" width="14.625" style="0" customWidth="1"/>
    <col min="10" max="11" width="14.125" style="0" customWidth="1"/>
    <col min="12" max="12" width="14.75390625" style="0" customWidth="1"/>
    <col min="13" max="13" width="10.375" style="0" bestFit="1" customWidth="1"/>
  </cols>
  <sheetData>
    <row r="1" spans="1:12" ht="38.25" customHeight="1">
      <c r="A1" s="68" t="s">
        <v>68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3.5" thickBot="1">
      <c r="A2" s="7"/>
      <c r="B2" s="8"/>
      <c r="C2" s="7"/>
      <c r="D2" s="7"/>
      <c r="E2" s="7"/>
      <c r="F2" s="7"/>
      <c r="L2" s="9" t="s">
        <v>44</v>
      </c>
    </row>
    <row r="3" spans="1:12" ht="16.5" thickBot="1">
      <c r="A3" s="79" t="s">
        <v>10</v>
      </c>
      <c r="B3" s="79" t="s">
        <v>0</v>
      </c>
      <c r="C3" s="80" t="s">
        <v>45</v>
      </c>
      <c r="D3" s="81"/>
      <c r="E3" s="81"/>
      <c r="F3" s="81"/>
      <c r="G3" s="82"/>
      <c r="H3" s="83" t="s">
        <v>46</v>
      </c>
      <c r="I3" s="83"/>
      <c r="J3" s="83"/>
      <c r="K3" s="83"/>
      <c r="L3" s="84"/>
    </row>
    <row r="4" spans="1:12" ht="15.75" customHeight="1">
      <c r="A4" s="85"/>
      <c r="B4" s="85"/>
      <c r="C4" s="136" t="s">
        <v>72</v>
      </c>
      <c r="D4" s="87"/>
      <c r="E4" s="87"/>
      <c r="F4" s="87"/>
      <c r="G4" s="88"/>
      <c r="H4" s="136" t="s">
        <v>72</v>
      </c>
      <c r="I4" s="87"/>
      <c r="J4" s="87"/>
      <c r="K4" s="87"/>
      <c r="L4" s="88"/>
    </row>
    <row r="5" spans="1:12" ht="16.5" thickBot="1">
      <c r="A5" s="89"/>
      <c r="B5" s="89"/>
      <c r="C5" s="93" t="s">
        <v>11</v>
      </c>
      <c r="D5" s="91" t="s">
        <v>1</v>
      </c>
      <c r="E5" s="91" t="s">
        <v>2</v>
      </c>
      <c r="F5" s="91" t="s">
        <v>3</v>
      </c>
      <c r="G5" s="92" t="s">
        <v>4</v>
      </c>
      <c r="H5" s="93" t="s">
        <v>11</v>
      </c>
      <c r="I5" s="91" t="s">
        <v>1</v>
      </c>
      <c r="J5" s="91" t="s">
        <v>2</v>
      </c>
      <c r="K5" s="91" t="s">
        <v>3</v>
      </c>
      <c r="L5" s="92" t="s">
        <v>4</v>
      </c>
    </row>
    <row r="6" spans="1:12" ht="13.5" thickBot="1">
      <c r="A6" s="94">
        <v>1</v>
      </c>
      <c r="B6" s="137">
        <v>2</v>
      </c>
      <c r="C6" s="94">
        <v>3</v>
      </c>
      <c r="D6" s="97">
        <v>4</v>
      </c>
      <c r="E6" s="97">
        <v>5</v>
      </c>
      <c r="F6" s="97">
        <v>6</v>
      </c>
      <c r="G6" s="100">
        <v>7</v>
      </c>
      <c r="H6" s="94">
        <v>8</v>
      </c>
      <c r="I6" s="97">
        <v>9</v>
      </c>
      <c r="J6" s="97">
        <v>10</v>
      </c>
      <c r="K6" s="97">
        <v>11</v>
      </c>
      <c r="L6" s="100">
        <v>12</v>
      </c>
    </row>
    <row r="7" spans="1:12" s="12" customFormat="1" ht="31.5">
      <c r="A7" s="101" t="s">
        <v>5</v>
      </c>
      <c r="B7" s="138" t="s">
        <v>12</v>
      </c>
      <c r="C7" s="139">
        <f>C17+C19+C20</f>
        <v>16070</v>
      </c>
      <c r="D7" s="140">
        <f>D13+D14+D15+D16</f>
        <v>16070</v>
      </c>
      <c r="E7" s="140">
        <f>E8+E13+E14+E15+E16</f>
        <v>0</v>
      </c>
      <c r="F7" s="140">
        <f>F8+F13+F14+F15+F16</f>
        <v>16070</v>
      </c>
      <c r="G7" s="141">
        <f>G8+G13+G14+G15+G16</f>
        <v>3670.6039999999994</v>
      </c>
      <c r="H7" s="142">
        <f>H17+H19+H20</f>
        <v>12750.456919608601</v>
      </c>
      <c r="I7" s="143">
        <f>(K10+J10+I20+I19)/(100-I18)*100</f>
        <v>12750.456919608601</v>
      </c>
      <c r="J7" s="143">
        <f>IF((100-J18)=0,0,(K11+J20+J19)/(100-J18)*100)</f>
        <v>0</v>
      </c>
      <c r="K7" s="143">
        <f>(L12+K20+K19)/(100-K18)*100</f>
        <v>12750.456919608601</v>
      </c>
      <c r="L7" s="144">
        <f>(L20+L19)/(100-L18)*100</f>
        <v>403.7956793862306</v>
      </c>
    </row>
    <row r="8" spans="1:12" s="12" customFormat="1" ht="15.75">
      <c r="A8" s="56" t="s">
        <v>13</v>
      </c>
      <c r="B8" s="57" t="s">
        <v>14</v>
      </c>
      <c r="C8" s="145" t="s">
        <v>47</v>
      </c>
      <c r="D8" s="13" t="s">
        <v>47</v>
      </c>
      <c r="E8" s="120">
        <f>E10</f>
        <v>0</v>
      </c>
      <c r="F8" s="120">
        <f>F10+F11</f>
        <v>16070</v>
      </c>
      <c r="G8" s="146">
        <f>G10+G11+G12</f>
        <v>3670.6039999999994</v>
      </c>
      <c r="H8" s="145" t="s">
        <v>47</v>
      </c>
      <c r="I8" s="13" t="s">
        <v>47</v>
      </c>
      <c r="J8" s="13">
        <f>J10</f>
        <v>0</v>
      </c>
      <c r="K8" s="13">
        <f>K10+K11</f>
        <v>12750.456919608601</v>
      </c>
      <c r="L8" s="147">
        <f>L10+L11+L12</f>
        <v>403.7956793862306</v>
      </c>
    </row>
    <row r="9" spans="1:12" s="12" customFormat="1" ht="15.75">
      <c r="A9" s="56"/>
      <c r="B9" s="57" t="s">
        <v>15</v>
      </c>
      <c r="C9" s="145" t="s">
        <v>47</v>
      </c>
      <c r="D9" s="148" t="s">
        <v>47</v>
      </c>
      <c r="E9" s="148" t="s">
        <v>47</v>
      </c>
      <c r="F9" s="148" t="s">
        <v>47</v>
      </c>
      <c r="G9" s="149" t="s">
        <v>47</v>
      </c>
      <c r="H9" s="145" t="s">
        <v>47</v>
      </c>
      <c r="I9" s="148" t="s">
        <v>47</v>
      </c>
      <c r="J9" s="148" t="s">
        <v>47</v>
      </c>
      <c r="K9" s="148" t="s">
        <v>47</v>
      </c>
      <c r="L9" s="149" t="s">
        <v>47</v>
      </c>
    </row>
    <row r="10" spans="1:12" s="12" customFormat="1" ht="15.75">
      <c r="A10" s="56" t="s">
        <v>48</v>
      </c>
      <c r="B10" s="57" t="s">
        <v>1</v>
      </c>
      <c r="C10" s="145" t="s">
        <v>47</v>
      </c>
      <c r="D10" s="14" t="s">
        <v>47</v>
      </c>
      <c r="E10" s="150"/>
      <c r="F10" s="150">
        <f>D7-D17-D19-D20-E10-G10</f>
        <v>16070</v>
      </c>
      <c r="G10" s="15"/>
      <c r="H10" s="145" t="s">
        <v>47</v>
      </c>
      <c r="I10" s="14" t="s">
        <v>47</v>
      </c>
      <c r="J10" s="14">
        <f>IF(E7=0,0,E10/E7*J7)</f>
        <v>0</v>
      </c>
      <c r="K10" s="14">
        <f>IF(F7=0,0,F10/F7*K7)</f>
        <v>12750.456919608601</v>
      </c>
      <c r="L10" s="16">
        <f>IF(G7=0,0,G10/G7*L7)</f>
        <v>0</v>
      </c>
    </row>
    <row r="11" spans="1:12" s="12" customFormat="1" ht="15.75">
      <c r="A11" s="56" t="s">
        <v>49</v>
      </c>
      <c r="B11" s="57" t="s">
        <v>2</v>
      </c>
      <c r="C11" s="145" t="s">
        <v>47</v>
      </c>
      <c r="D11" s="14" t="s">
        <v>47</v>
      </c>
      <c r="E11" s="14" t="s">
        <v>47</v>
      </c>
      <c r="F11" s="150">
        <f>E7-E17-E19-E20-G11</f>
        <v>0</v>
      </c>
      <c r="G11" s="15"/>
      <c r="H11" s="145" t="s">
        <v>47</v>
      </c>
      <c r="I11" s="14" t="s">
        <v>47</v>
      </c>
      <c r="J11" s="14" t="s">
        <v>47</v>
      </c>
      <c r="K11" s="14">
        <f>IF(F7=0,0,F11/F7*K7)</f>
        <v>0</v>
      </c>
      <c r="L11" s="16">
        <f>IF(G7=0,0,G11/G7*L7)</f>
        <v>0</v>
      </c>
    </row>
    <row r="12" spans="1:13" s="12" customFormat="1" ht="15.75">
      <c r="A12" s="56" t="s">
        <v>50</v>
      </c>
      <c r="B12" s="57" t="s">
        <v>3</v>
      </c>
      <c r="C12" s="145" t="s">
        <v>47</v>
      </c>
      <c r="D12" s="14" t="s">
        <v>47</v>
      </c>
      <c r="E12" s="14" t="s">
        <v>47</v>
      </c>
      <c r="F12" s="14" t="s">
        <v>47</v>
      </c>
      <c r="G12" s="15">
        <f>F7-F17-F19-F20</f>
        <v>3670.6039999999994</v>
      </c>
      <c r="H12" s="145" t="s">
        <v>47</v>
      </c>
      <c r="I12" s="14" t="s">
        <v>47</v>
      </c>
      <c r="J12" s="14" t="s">
        <v>47</v>
      </c>
      <c r="K12" s="14" t="s">
        <v>47</v>
      </c>
      <c r="L12" s="16">
        <f>IF(G7=0,0,G12/G7*L7)</f>
        <v>403.7956793862306</v>
      </c>
      <c r="M12" s="51"/>
    </row>
    <row r="13" spans="1:12" s="12" customFormat="1" ht="15.75">
      <c r="A13" s="56" t="s">
        <v>17</v>
      </c>
      <c r="B13" s="57" t="s">
        <v>51</v>
      </c>
      <c r="C13" s="119">
        <f>SUM(D13:G13)</f>
        <v>0</v>
      </c>
      <c r="D13" s="14"/>
      <c r="E13" s="14"/>
      <c r="F13" s="14"/>
      <c r="G13" s="15"/>
      <c r="H13" s="151">
        <f>SUM(I13:L13)</f>
        <v>0</v>
      </c>
      <c r="I13" s="14">
        <f>IF(D7=0,0,D13/D7*I7)</f>
        <v>0</v>
      </c>
      <c r="J13" s="14">
        <f>IF(E7=0,0,E13/E7*J7)</f>
        <v>0</v>
      </c>
      <c r="K13" s="14">
        <f>IF(F7=0,0,F13/F7*K7)</f>
        <v>0</v>
      </c>
      <c r="L13" s="16">
        <f>IF(G7=0,0,G13/G7*L7)</f>
        <v>0</v>
      </c>
    </row>
    <row r="14" spans="1:12" s="12" customFormat="1" ht="15.75">
      <c r="A14" s="56" t="s">
        <v>19</v>
      </c>
      <c r="B14" s="57" t="s">
        <v>52</v>
      </c>
      <c r="C14" s="119">
        <f>SUM(D14:G14)</f>
        <v>0</v>
      </c>
      <c r="D14" s="150"/>
      <c r="E14" s="150"/>
      <c r="F14" s="150"/>
      <c r="G14" s="15"/>
      <c r="H14" s="151">
        <f>SUM(I14:L14)</f>
        <v>0</v>
      </c>
      <c r="I14" s="14">
        <f>IF(D7=0,0,D14/D7*I7)</f>
        <v>0</v>
      </c>
      <c r="J14" s="14">
        <f>IF(E7=0,0,E14/E7*J7)</f>
        <v>0</v>
      </c>
      <c r="K14" s="14">
        <f>IF(F7=0,0,F14/F7*K7)</f>
        <v>0</v>
      </c>
      <c r="L14" s="16">
        <f>IF(G7=0,0,G14/G7*L7)</f>
        <v>0</v>
      </c>
    </row>
    <row r="15" spans="1:12" s="12" customFormat="1" ht="15.75">
      <c r="A15" s="56" t="s">
        <v>21</v>
      </c>
      <c r="B15" s="57" t="s">
        <v>53</v>
      </c>
      <c r="C15" s="119">
        <f>SUM(D15:G15)</f>
        <v>11320</v>
      </c>
      <c r="D15" s="150">
        <f>16070-D16</f>
        <v>11320</v>
      </c>
      <c r="E15" s="150">
        <v>0</v>
      </c>
      <c r="F15" s="150">
        <v>0</v>
      </c>
      <c r="G15" s="15"/>
      <c r="H15" s="151">
        <f>SUM(I15:L15)</f>
        <v>8981.653536401329</v>
      </c>
      <c r="I15" s="14">
        <f>IF(D7=0,0,D15/D7*I7)</f>
        <v>8981.653536401329</v>
      </c>
      <c r="J15" s="14">
        <f>IF(E7=0,0,E15/E7*J7)</f>
        <v>0</v>
      </c>
      <c r="K15" s="14">
        <f>IF(F7=0,0,F15/F7*K7)</f>
        <v>0</v>
      </c>
      <c r="L15" s="16">
        <f>IF(G7=0,0,G15/G7*L7)</f>
        <v>0</v>
      </c>
    </row>
    <row r="16" spans="1:12" s="12" customFormat="1" ht="31.5">
      <c r="A16" s="56" t="s">
        <v>54</v>
      </c>
      <c r="B16" s="57" t="s">
        <v>70</v>
      </c>
      <c r="C16" s="119">
        <f>SUM(D16:G16)</f>
        <v>4750</v>
      </c>
      <c r="D16" s="150">
        <v>4750</v>
      </c>
      <c r="E16" s="150"/>
      <c r="F16" s="150"/>
      <c r="G16" s="15"/>
      <c r="H16" s="151">
        <f>SUM(I16:L16)</f>
        <v>3768.8033832072715</v>
      </c>
      <c r="I16" s="14">
        <f>IF(D7=0,0,D16/D7*I7)</f>
        <v>3768.8033832072715</v>
      </c>
      <c r="J16" s="14">
        <f>IF(E7=0,0,E16/E7*J7)</f>
        <v>0</v>
      </c>
      <c r="K16" s="14">
        <f>IF(F7=0,0,F16/F7*K7)</f>
        <v>0</v>
      </c>
      <c r="L16" s="16">
        <f>IF(G7=0,0,G16/G7*L7)</f>
        <v>0</v>
      </c>
    </row>
    <row r="17" spans="1:12" s="12" customFormat="1" ht="31.5">
      <c r="A17" s="56" t="s">
        <v>6</v>
      </c>
      <c r="B17" s="57" t="s">
        <v>23</v>
      </c>
      <c r="C17" s="119">
        <f>SUM(D17:G17)</f>
        <v>395.322</v>
      </c>
      <c r="D17" s="120">
        <v>0</v>
      </c>
      <c r="E17" s="120">
        <v>0</v>
      </c>
      <c r="F17" s="150">
        <f>ЭЭ!F15*1000</f>
        <v>366.39599999999996</v>
      </c>
      <c r="G17" s="150">
        <f>ЭЭ!G15*1000</f>
        <v>28.926000000000062</v>
      </c>
      <c r="H17" s="151">
        <f>SUM(I17:L17)</f>
        <v>317.45691960860216</v>
      </c>
      <c r="I17" s="13">
        <f>I7*I18/100</f>
        <v>0</v>
      </c>
      <c r="J17" s="13">
        <f>J7*J18/100</f>
        <v>0</v>
      </c>
      <c r="K17" s="13">
        <f>K7*K18/100</f>
        <v>313.6612402223716</v>
      </c>
      <c r="L17" s="147">
        <f>L7*L18/100</f>
        <v>3.795679386230567</v>
      </c>
    </row>
    <row r="18" spans="1:12" s="12" customFormat="1" ht="15.75">
      <c r="A18" s="56" t="s">
        <v>55</v>
      </c>
      <c r="B18" s="57" t="s">
        <v>24</v>
      </c>
      <c r="C18" s="119">
        <f aca="true" t="shared" si="0" ref="C18:H18">IF(C7=0,0,C17/C7*100)</f>
        <v>2.46</v>
      </c>
      <c r="D18" s="120">
        <f t="shared" si="0"/>
        <v>0</v>
      </c>
      <c r="E18" s="120">
        <f t="shared" si="0"/>
        <v>0</v>
      </c>
      <c r="F18" s="120">
        <f t="shared" si="0"/>
        <v>2.28</v>
      </c>
      <c r="G18" s="120">
        <f t="shared" si="0"/>
        <v>0.7880446923721564</v>
      </c>
      <c r="H18" s="151">
        <f t="shared" si="0"/>
        <v>2.489768967576317</v>
      </c>
      <c r="I18" s="13">
        <f>D18</f>
        <v>0</v>
      </c>
      <c r="J18" s="13">
        <f>E18</f>
        <v>0</v>
      </c>
      <c r="K18" s="13">
        <v>2.46</v>
      </c>
      <c r="L18" s="147">
        <v>0.94</v>
      </c>
    </row>
    <row r="19" spans="1:13" s="12" customFormat="1" ht="47.25">
      <c r="A19" s="56" t="s">
        <v>7</v>
      </c>
      <c r="B19" s="57" t="s">
        <v>56</v>
      </c>
      <c r="C19" s="119">
        <f>SUM(D19:G19)</f>
        <v>0</v>
      </c>
      <c r="D19" s="120"/>
      <c r="E19" s="120"/>
      <c r="F19" s="120"/>
      <c r="G19" s="146"/>
      <c r="H19" s="151">
        <f>SUM(I19:L19)</f>
        <v>0</v>
      </c>
      <c r="I19" s="13">
        <f>D19*((C21+C23)/C20)</f>
        <v>0</v>
      </c>
      <c r="J19" s="13">
        <f>E19*((C21+C23)/C20)</f>
        <v>0</v>
      </c>
      <c r="K19" s="13">
        <f>F19*((C21+C23)/C20)</f>
        <v>0</v>
      </c>
      <c r="L19" s="147">
        <f>G19*((C23+C21)/C20)</f>
        <v>0</v>
      </c>
      <c r="M19" s="51"/>
    </row>
    <row r="20" spans="1:12" s="12" customFormat="1" ht="15.75">
      <c r="A20" s="56" t="s">
        <v>8</v>
      </c>
      <c r="B20" s="57" t="s">
        <v>26</v>
      </c>
      <c r="C20" s="119">
        <f>SUM(D20:G20)</f>
        <v>15674.678</v>
      </c>
      <c r="D20" s="120">
        <f>D21+D22+D23</f>
        <v>0</v>
      </c>
      <c r="E20" s="120">
        <f>E21+E22+E23</f>
        <v>0</v>
      </c>
      <c r="F20" s="120">
        <f>F21+F22+F23</f>
        <v>12033</v>
      </c>
      <c r="G20" s="146">
        <f>G7-G17-G19</f>
        <v>3641.6779999999994</v>
      </c>
      <c r="H20" s="151">
        <f>SUM(I20:L20)</f>
        <v>12433</v>
      </c>
      <c r="I20" s="13">
        <f>I21+I23</f>
        <v>0</v>
      </c>
      <c r="J20" s="13">
        <f>J21+J23</f>
        <v>0</v>
      </c>
      <c r="K20" s="13">
        <f>K21+K23</f>
        <v>12033</v>
      </c>
      <c r="L20" s="147">
        <f>L21+L23</f>
        <v>400</v>
      </c>
    </row>
    <row r="21" spans="1:12" s="12" customFormat="1" ht="31.5">
      <c r="A21" s="56" t="s">
        <v>27</v>
      </c>
      <c r="B21" s="57" t="s">
        <v>57</v>
      </c>
      <c r="C21" s="119">
        <f>SUM(D21:G21)</f>
        <v>12433</v>
      </c>
      <c r="D21" s="120">
        <v>0</v>
      </c>
      <c r="E21" s="120"/>
      <c r="F21" s="120">
        <f>ЭЭ!F19*1000</f>
        <v>12033</v>
      </c>
      <c r="G21" s="120">
        <f>ЭЭ!G19*1000</f>
        <v>400</v>
      </c>
      <c r="H21" s="151">
        <f>SUM(I21:L21)</f>
        <v>12433</v>
      </c>
      <c r="I21" s="13">
        <f>D21</f>
        <v>0</v>
      </c>
      <c r="J21" s="13">
        <f>E21</f>
        <v>0</v>
      </c>
      <c r="K21" s="13">
        <f>F21</f>
        <v>12033</v>
      </c>
      <c r="L21" s="147">
        <f>G21</f>
        <v>400</v>
      </c>
    </row>
    <row r="22" spans="1:12" s="12" customFormat="1" ht="15.75">
      <c r="A22" s="124" t="s">
        <v>29</v>
      </c>
      <c r="B22" s="109" t="s">
        <v>58</v>
      </c>
      <c r="C22" s="119">
        <f>SUM(D22:G22)</f>
        <v>3241.678000000001</v>
      </c>
      <c r="D22" s="150"/>
      <c r="E22" s="150"/>
      <c r="F22" s="150">
        <f>ЭЭ!F17*1000</f>
        <v>0</v>
      </c>
      <c r="G22" s="150">
        <f>ЭЭ!G17*1000</f>
        <v>3241.678000000001</v>
      </c>
      <c r="H22" s="151">
        <f>SUM(I22:L22)</f>
        <v>0</v>
      </c>
      <c r="I22" s="14"/>
      <c r="J22" s="14"/>
      <c r="K22" s="14"/>
      <c r="L22" s="16"/>
    </row>
    <row r="23" spans="1:12" s="12" customFormat="1" ht="32.25" thickBot="1">
      <c r="A23" s="125" t="s">
        <v>31</v>
      </c>
      <c r="B23" s="152" t="s">
        <v>59</v>
      </c>
      <c r="C23" s="153">
        <f>SUM(D23:G23)</f>
        <v>0</v>
      </c>
      <c r="D23" s="154">
        <v>0</v>
      </c>
      <c r="E23" s="154">
        <v>0</v>
      </c>
      <c r="F23" s="154">
        <f>ЭЭ!F21*1000</f>
        <v>0</v>
      </c>
      <c r="G23" s="154">
        <f>ЭЭ!G21*1000</f>
        <v>0</v>
      </c>
      <c r="H23" s="155">
        <f>SUM(I23:L23)</f>
        <v>0</v>
      </c>
      <c r="I23" s="156">
        <f>D23</f>
        <v>0</v>
      </c>
      <c r="J23" s="156">
        <f>E23</f>
        <v>0</v>
      </c>
      <c r="K23" s="156">
        <f>F23</f>
        <v>0</v>
      </c>
      <c r="L23" s="157">
        <f>G23</f>
        <v>0</v>
      </c>
    </row>
    <row r="24" spans="1:12" s="12" customFormat="1" ht="15.75">
      <c r="A24" s="17"/>
      <c r="B24" s="18"/>
      <c r="C24" s="19"/>
      <c r="D24" s="20"/>
      <c r="E24" s="20"/>
      <c r="F24" s="20"/>
      <c r="G24" s="20"/>
      <c r="H24" s="21"/>
      <c r="I24" s="22"/>
      <c r="J24" s="22"/>
      <c r="K24" s="22"/>
      <c r="L24" s="22"/>
    </row>
    <row r="25" spans="1:12" s="12" customFormat="1" ht="15.75">
      <c r="A25" s="77"/>
      <c r="B25" s="77"/>
      <c r="C25" s="77"/>
      <c r="D25" s="77"/>
      <c r="E25" s="77"/>
      <c r="F25" s="77"/>
      <c r="G25" s="132"/>
      <c r="H25" s="133"/>
      <c r="I25" s="134"/>
      <c r="J25" s="134"/>
      <c r="K25" s="134"/>
      <c r="L25" s="134"/>
    </row>
    <row r="26" spans="1:12" s="12" customFormat="1" ht="15.75">
      <c r="A26" s="77"/>
      <c r="B26" s="77"/>
      <c r="C26" s="77"/>
      <c r="D26" s="77"/>
      <c r="E26" s="77"/>
      <c r="F26" s="77"/>
      <c r="G26" s="132"/>
      <c r="H26" s="133"/>
      <c r="I26" s="134"/>
      <c r="J26" s="134"/>
      <c r="K26" s="134"/>
      <c r="L26" s="134"/>
    </row>
    <row r="27" spans="1:12" s="12" customFormat="1" ht="15.75">
      <c r="A27" s="77"/>
      <c r="B27" s="77"/>
      <c r="C27" s="77"/>
      <c r="D27" s="77"/>
      <c r="E27" s="77"/>
      <c r="F27" s="77"/>
      <c r="G27" s="132"/>
      <c r="H27" s="133"/>
      <c r="I27" s="134"/>
      <c r="J27" s="134"/>
      <c r="K27" s="134"/>
      <c r="L27" s="134"/>
    </row>
    <row r="28" spans="1:12" s="12" customFormat="1" ht="15.75">
      <c r="A28" s="77"/>
      <c r="B28" s="77"/>
      <c r="C28" s="77"/>
      <c r="D28" s="77"/>
      <c r="E28" s="77"/>
      <c r="F28" s="77"/>
      <c r="G28" s="77"/>
      <c r="H28" s="133"/>
      <c r="I28" s="134"/>
      <c r="J28" s="134"/>
      <c r="K28" s="134"/>
      <c r="L28" s="134"/>
    </row>
    <row r="29" spans="1:12" s="12" customFormat="1" ht="15.75">
      <c r="A29" s="77"/>
      <c r="H29" s="133"/>
      <c r="I29" s="134"/>
      <c r="J29" s="134"/>
      <c r="K29" s="134"/>
      <c r="L29" s="134"/>
    </row>
    <row r="30" spans="1:12" s="12" customFormat="1" ht="15.75">
      <c r="A30" s="133"/>
      <c r="D30" s="135"/>
      <c r="E30" s="77"/>
      <c r="F30" s="77"/>
      <c r="G30" s="77"/>
      <c r="H30" s="77"/>
      <c r="I30" s="77"/>
      <c r="J30" s="134"/>
      <c r="K30" s="134"/>
      <c r="L30" s="134"/>
    </row>
    <row r="31" spans="1:12" s="12" customFormat="1" ht="15">
      <c r="A31" s="134"/>
      <c r="D31" s="23" t="s">
        <v>73</v>
      </c>
      <c r="E31" s="23"/>
      <c r="F31" s="23"/>
      <c r="G31" s="23"/>
      <c r="H31" s="23"/>
      <c r="I31" s="23" t="s">
        <v>75</v>
      </c>
      <c r="J31" s="134"/>
      <c r="K31" s="134"/>
      <c r="L31" s="134"/>
    </row>
    <row r="32" spans="1:12" ht="15">
      <c r="A32" s="78"/>
      <c r="D32" s="23"/>
      <c r="E32" s="23"/>
      <c r="F32" s="23"/>
      <c r="G32" s="23"/>
      <c r="H32" s="23"/>
      <c r="I32" s="23"/>
      <c r="J32" s="78"/>
      <c r="K32" s="78"/>
      <c r="L32" s="78"/>
    </row>
    <row r="33" spans="1:12" ht="15">
      <c r="A33" s="78"/>
      <c r="D33" s="23"/>
      <c r="E33" s="23"/>
      <c r="F33" s="23"/>
      <c r="G33" s="23"/>
      <c r="H33" s="23"/>
      <c r="I33" s="23"/>
      <c r="J33" s="78"/>
      <c r="K33" s="78"/>
      <c r="L33" s="78"/>
    </row>
    <row r="34" spans="1:12" ht="15">
      <c r="A34" s="78"/>
      <c r="D34" s="23"/>
      <c r="E34" s="23"/>
      <c r="F34" s="23"/>
      <c r="G34" s="23"/>
      <c r="H34" s="23"/>
      <c r="I34" s="23"/>
      <c r="J34" s="78"/>
      <c r="K34" s="78"/>
      <c r="L34" s="78"/>
    </row>
    <row r="35" spans="1:12" ht="15.75">
      <c r="A35" s="77"/>
      <c r="D35" s="23"/>
      <c r="E35" s="23"/>
      <c r="F35" s="23"/>
      <c r="G35" s="23"/>
      <c r="H35" s="23"/>
      <c r="I35" s="23"/>
      <c r="J35" s="78"/>
      <c r="K35" s="78"/>
      <c r="L35" s="78"/>
    </row>
    <row r="36" spans="1:12" ht="15">
      <c r="A36" s="133"/>
      <c r="D36" s="23"/>
      <c r="E36" s="23"/>
      <c r="F36" s="23"/>
      <c r="G36" s="23"/>
      <c r="H36" s="23"/>
      <c r="I36" s="23"/>
      <c r="J36" s="78"/>
      <c r="K36" s="78"/>
      <c r="L36" s="78"/>
    </row>
    <row r="37" spans="1:12" ht="15">
      <c r="A37" s="78"/>
      <c r="D37" s="23"/>
      <c r="E37" s="23"/>
      <c r="F37" s="23"/>
      <c r="G37" s="23"/>
      <c r="H37" s="23"/>
      <c r="I37" s="23"/>
      <c r="J37" s="78"/>
      <c r="K37" s="78"/>
      <c r="L37" s="78"/>
    </row>
    <row r="38" spans="4:9" ht="15">
      <c r="D38" s="23"/>
      <c r="E38" s="23"/>
      <c r="F38" s="23"/>
      <c r="G38" s="23"/>
      <c r="H38" s="23"/>
      <c r="I38" s="23"/>
    </row>
    <row r="39" spans="4:9" ht="15">
      <c r="D39" s="23" t="s">
        <v>74</v>
      </c>
      <c r="E39" s="23"/>
      <c r="F39" s="23"/>
      <c r="G39" s="23"/>
      <c r="H39" s="23"/>
      <c r="I39" s="23" t="s">
        <v>76</v>
      </c>
    </row>
  </sheetData>
  <sheetProtection/>
  <mergeCells count="7">
    <mergeCell ref="A3:A5"/>
    <mergeCell ref="H4:L4"/>
    <mergeCell ref="C4:G4"/>
    <mergeCell ref="C3:G3"/>
    <mergeCell ref="H3:L3"/>
    <mergeCell ref="B3:B5"/>
    <mergeCell ref="A1:L1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SheetLayoutView="100" zoomScalePageLayoutView="0" workbookViewId="0" topLeftCell="A1">
      <selection activeCell="B30" sqref="B30:G38"/>
    </sheetView>
  </sheetViews>
  <sheetFormatPr defaultColWidth="9.00390625" defaultRowHeight="12.75" outlineLevelCol="1"/>
  <cols>
    <col min="1" max="1" width="7.125" style="0" customWidth="1"/>
    <col min="2" max="2" width="39.25390625" style="0" customWidth="1"/>
    <col min="3" max="3" width="12.25390625" style="0" customWidth="1"/>
    <col min="4" max="4" width="13.00390625" style="0" customWidth="1"/>
    <col min="5" max="5" width="11.625" style="0" customWidth="1"/>
    <col min="6" max="7" width="12.00390625" style="0" customWidth="1"/>
    <col min="8" max="8" width="11.875" style="0" customWidth="1"/>
    <col min="9" max="9" width="13.125" style="0" customWidth="1"/>
    <col min="10" max="10" width="11.75390625" style="0" customWidth="1"/>
    <col min="11" max="11" width="12.00390625" style="0" customWidth="1"/>
    <col min="12" max="12" width="12.375" style="0" customWidth="1"/>
    <col min="13" max="13" width="15.375" style="0" hidden="1" customWidth="1" outlineLevel="1"/>
    <col min="14" max="14" width="15.75390625" style="0" hidden="1" customWidth="1" outlineLevel="1"/>
    <col min="15" max="15" width="14.125" style="0" hidden="1" customWidth="1" outlineLevel="1"/>
    <col min="16" max="16" width="13.875" style="0" hidden="1" customWidth="1" outlineLevel="1"/>
    <col min="17" max="17" width="14.25390625" style="0" hidden="1" customWidth="1" outlineLevel="1"/>
    <col min="18" max="18" width="9.125" style="0" customWidth="1" collapsed="1"/>
  </cols>
  <sheetData>
    <row r="1" spans="1:12" ht="18.75" customHeight="1">
      <c r="A1" s="68" t="s">
        <v>69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3.5" thickBot="1">
      <c r="A2" s="7"/>
      <c r="B2" s="8"/>
      <c r="C2" s="7"/>
      <c r="D2" s="7"/>
      <c r="E2" s="7"/>
      <c r="F2" s="7"/>
      <c r="G2" s="7"/>
      <c r="H2" s="7"/>
      <c r="I2" s="7"/>
      <c r="J2" s="7"/>
      <c r="K2" s="7"/>
      <c r="L2" s="7" t="s">
        <v>60</v>
      </c>
    </row>
    <row r="3" spans="1:17" ht="16.5" thickBot="1">
      <c r="A3" s="79" t="s">
        <v>10</v>
      </c>
      <c r="B3" s="79" t="s">
        <v>0</v>
      </c>
      <c r="C3" s="80" t="s">
        <v>45</v>
      </c>
      <c r="D3" s="81"/>
      <c r="E3" s="81"/>
      <c r="F3" s="81"/>
      <c r="G3" s="82"/>
      <c r="H3" s="83" t="s">
        <v>46</v>
      </c>
      <c r="I3" s="83"/>
      <c r="J3" s="83"/>
      <c r="K3" s="83"/>
      <c r="L3" s="84"/>
      <c r="M3" s="61" t="s">
        <v>61</v>
      </c>
      <c r="N3" s="69"/>
      <c r="O3" s="69"/>
      <c r="P3" s="69"/>
      <c r="Q3" s="70"/>
    </row>
    <row r="4" spans="1:17" ht="15.75" customHeight="1" thickBot="1">
      <c r="A4" s="85"/>
      <c r="B4" s="85"/>
      <c r="C4" s="86" t="s">
        <v>72</v>
      </c>
      <c r="D4" s="87"/>
      <c r="E4" s="87"/>
      <c r="F4" s="87"/>
      <c r="G4" s="88"/>
      <c r="H4" s="86" t="s">
        <v>72</v>
      </c>
      <c r="I4" s="87"/>
      <c r="J4" s="87"/>
      <c r="K4" s="87"/>
      <c r="L4" s="88"/>
      <c r="M4" s="71"/>
      <c r="N4" s="72"/>
      <c r="O4" s="72"/>
      <c r="P4" s="72"/>
      <c r="Q4" s="73"/>
    </row>
    <row r="5" spans="1:17" ht="16.5" thickBot="1">
      <c r="A5" s="89"/>
      <c r="B5" s="89"/>
      <c r="C5" s="90" t="s">
        <v>11</v>
      </c>
      <c r="D5" s="91" t="s">
        <v>1</v>
      </c>
      <c r="E5" s="91" t="s">
        <v>2</v>
      </c>
      <c r="F5" s="91" t="s">
        <v>3</v>
      </c>
      <c r="G5" s="92" t="s">
        <v>4</v>
      </c>
      <c r="H5" s="93" t="s">
        <v>11</v>
      </c>
      <c r="I5" s="91" t="s">
        <v>1</v>
      </c>
      <c r="J5" s="91" t="s">
        <v>2</v>
      </c>
      <c r="K5" s="91" t="s">
        <v>3</v>
      </c>
      <c r="L5" s="92" t="s">
        <v>4</v>
      </c>
      <c r="M5" s="24" t="s">
        <v>11</v>
      </c>
      <c r="N5" s="25" t="s">
        <v>1</v>
      </c>
      <c r="O5" s="25" t="s">
        <v>2</v>
      </c>
      <c r="P5" s="25" t="s">
        <v>3</v>
      </c>
      <c r="Q5" s="26" t="s">
        <v>4</v>
      </c>
    </row>
    <row r="6" spans="1:17" ht="13.5" thickBot="1">
      <c r="A6" s="94">
        <v>1</v>
      </c>
      <c r="B6" s="95">
        <v>2</v>
      </c>
      <c r="C6" s="94">
        <v>3</v>
      </c>
      <c r="D6" s="96">
        <v>4</v>
      </c>
      <c r="E6" s="97">
        <v>5</v>
      </c>
      <c r="F6" s="96">
        <v>6</v>
      </c>
      <c r="G6" s="98">
        <v>7</v>
      </c>
      <c r="H6" s="99">
        <v>8</v>
      </c>
      <c r="I6" s="97">
        <v>9</v>
      </c>
      <c r="J6" s="96">
        <v>10</v>
      </c>
      <c r="K6" s="97">
        <v>11</v>
      </c>
      <c r="L6" s="100">
        <v>12</v>
      </c>
      <c r="M6" s="28">
        <v>8</v>
      </c>
      <c r="N6" s="10">
        <v>9</v>
      </c>
      <c r="O6" s="27">
        <v>10</v>
      </c>
      <c r="P6" s="10">
        <v>11</v>
      </c>
      <c r="Q6" s="11">
        <v>12</v>
      </c>
    </row>
    <row r="7" spans="1:17" ht="15.75" customHeight="1">
      <c r="A7" s="101" t="s">
        <v>5</v>
      </c>
      <c r="B7" s="102" t="s">
        <v>35</v>
      </c>
      <c r="C7" s="103">
        <f>C17+C19+C20</f>
        <v>3.0159044025157233</v>
      </c>
      <c r="D7" s="104">
        <f>D13+D14+D15+D16</f>
        <v>3.0159044025157233</v>
      </c>
      <c r="E7" s="104">
        <f>E8+E13+E14+E15+E16</f>
        <v>0</v>
      </c>
      <c r="F7" s="104">
        <f>F8+F13+F14+F15+F16</f>
        <v>3.0159044025157233</v>
      </c>
      <c r="G7" s="105">
        <f>G8+G13+G14+G15+G16</f>
        <v>0.9416417821383649</v>
      </c>
      <c r="H7" s="106">
        <f>H17+H19+H20</f>
        <v>2.136805574615865</v>
      </c>
      <c r="I7" s="107">
        <f>(K10+J10+I20+I19)/(100-I18)*100</f>
        <v>2.136805574615865</v>
      </c>
      <c r="J7" s="107">
        <f>IF((100-J18)=0,0,(K11+J20+J19)/(100-J18)*100)</f>
        <v>0</v>
      </c>
      <c r="K7" s="107">
        <f>(L12+K20+K19)/(100-K18)*100</f>
        <v>2.136805574615865</v>
      </c>
      <c r="L7" s="108">
        <f>(L20+L19)/(100-L18)*100</f>
        <v>0.07874015748031496</v>
      </c>
      <c r="M7" s="29">
        <f>IF('Баланс мощности'!C7=0,0,'Баланс эл энергии'!C7/'Баланс мощности'!C7)</f>
        <v>5328.418230563003</v>
      </c>
      <c r="N7" s="30">
        <f>IF('Баланс мощности'!D7=0,0,'Баланс эл энергии'!D7/'Баланс мощности'!D7)</f>
        <v>5328.418230563003</v>
      </c>
      <c r="O7" s="30">
        <f>IF('Баланс мощности'!E7=0,0,'Баланс эл энергии'!E7/'Баланс мощности'!E7)</f>
        <v>0</v>
      </c>
      <c r="P7" s="30">
        <f>IF('Баланс мощности'!F7=0,0,'Баланс эл энергии'!F7/'Баланс мощности'!F7)</f>
        <v>5328.418230563003</v>
      </c>
      <c r="Q7" s="31">
        <f>IF('Баланс мощности'!G7=0,0,'Баланс эл энергии'!G7/'Баланс мощности'!G7)</f>
        <v>3898.089559773422</v>
      </c>
    </row>
    <row r="8" spans="1:17" ht="15.75">
      <c r="A8" s="56" t="s">
        <v>13</v>
      </c>
      <c r="B8" s="109" t="s">
        <v>14</v>
      </c>
      <c r="C8" s="110" t="s">
        <v>47</v>
      </c>
      <c r="D8" s="53" t="s">
        <v>47</v>
      </c>
      <c r="E8" s="111">
        <f>E10</f>
        <v>0</v>
      </c>
      <c r="F8" s="111">
        <f>F10+F11</f>
        <v>3.0159044025157233</v>
      </c>
      <c r="G8" s="112">
        <f>G10+G11+G12</f>
        <v>0.9416417821383649</v>
      </c>
      <c r="H8" s="110" t="s">
        <v>47</v>
      </c>
      <c r="I8" s="53" t="s">
        <v>47</v>
      </c>
      <c r="J8" s="53">
        <f>J10</f>
        <v>0</v>
      </c>
      <c r="K8" s="53">
        <f>K10+K11</f>
        <v>2.136805574615865</v>
      </c>
      <c r="L8" s="113">
        <f>L10+L11+L12</f>
        <v>0.07874015748031496</v>
      </c>
      <c r="M8" s="32"/>
      <c r="N8" s="33"/>
      <c r="O8" s="34">
        <f>IF('Баланс мощности'!E8=0,0,'Баланс эл энергии'!E8/'Баланс мощности'!E8)</f>
        <v>0</v>
      </c>
      <c r="P8" s="34">
        <f>IF('Баланс мощности'!F8=0,0,'Баланс эл энергии'!F8/'Баланс мощности'!F8)</f>
        <v>5328.418230563003</v>
      </c>
      <c r="Q8" s="35">
        <f>IF('Баланс мощности'!G8=0,0,'Баланс эл энергии'!G8/'Баланс мощности'!G8)</f>
        <v>3898.089559773422</v>
      </c>
    </row>
    <row r="9" spans="1:17" ht="15.75">
      <c r="A9" s="56"/>
      <c r="B9" s="109" t="s">
        <v>15</v>
      </c>
      <c r="C9" s="110" t="s">
        <v>47</v>
      </c>
      <c r="D9" s="114" t="s">
        <v>47</v>
      </c>
      <c r="E9" s="114" t="s">
        <v>47</v>
      </c>
      <c r="F9" s="114" t="s">
        <v>47</v>
      </c>
      <c r="G9" s="115" t="s">
        <v>47</v>
      </c>
      <c r="H9" s="110" t="s">
        <v>47</v>
      </c>
      <c r="I9" s="114" t="s">
        <v>47</v>
      </c>
      <c r="J9" s="114" t="s">
        <v>47</v>
      </c>
      <c r="K9" s="114" t="s">
        <v>47</v>
      </c>
      <c r="L9" s="115" t="s">
        <v>47</v>
      </c>
      <c r="M9" s="32"/>
      <c r="N9" s="33"/>
      <c r="O9" s="33"/>
      <c r="P9" s="33"/>
      <c r="Q9" s="36"/>
    </row>
    <row r="10" spans="1:17" ht="15.75">
      <c r="A10" s="56" t="s">
        <v>48</v>
      </c>
      <c r="B10" s="109" t="s">
        <v>1</v>
      </c>
      <c r="C10" s="110" t="s">
        <v>47</v>
      </c>
      <c r="D10" s="54" t="s">
        <v>47</v>
      </c>
      <c r="E10" s="116"/>
      <c r="F10" s="116">
        <f>D7-D17-D19-D20-E10-G10</f>
        <v>3.0159044025157233</v>
      </c>
      <c r="G10" s="55">
        <v>0</v>
      </c>
      <c r="H10" s="110" t="s">
        <v>47</v>
      </c>
      <c r="I10" s="54" t="s">
        <v>47</v>
      </c>
      <c r="J10" s="54">
        <f>IF(E7=0,0,E10/E7*J7)</f>
        <v>0</v>
      </c>
      <c r="K10" s="54">
        <f>IF(F7=0,0,F10/F7*K7)</f>
        <v>2.136805574615865</v>
      </c>
      <c r="L10" s="60">
        <f>IF(G7=0,0,G10/G7*L7)</f>
        <v>0</v>
      </c>
      <c r="M10" s="32"/>
      <c r="N10" s="33"/>
      <c r="O10" s="34">
        <f>IF('Баланс мощности'!E10=0,0,'Баланс эл энергии'!E10/'Баланс мощности'!E10)</f>
        <v>0</v>
      </c>
      <c r="P10" s="34">
        <f>IF('Баланс мощности'!F10=0,0,'Баланс эл энергии'!F10/'Баланс мощности'!F10)</f>
        <v>5328.418230563003</v>
      </c>
      <c r="Q10" s="35">
        <f>IF('Баланс мощности'!G10=0,0,'Баланс эл энергии'!G10/'Баланс мощности'!G10)</f>
        <v>0</v>
      </c>
    </row>
    <row r="11" spans="1:17" ht="15.75">
      <c r="A11" s="56" t="s">
        <v>49</v>
      </c>
      <c r="B11" s="109" t="s">
        <v>2</v>
      </c>
      <c r="C11" s="110" t="s">
        <v>47</v>
      </c>
      <c r="D11" s="54" t="s">
        <v>47</v>
      </c>
      <c r="E11" s="54" t="s">
        <v>47</v>
      </c>
      <c r="F11" s="116">
        <f>E7-E17-E19-E20-G11</f>
        <v>0</v>
      </c>
      <c r="G11" s="55">
        <v>0</v>
      </c>
      <c r="H11" s="110" t="s">
        <v>47</v>
      </c>
      <c r="I11" s="54" t="s">
        <v>47</v>
      </c>
      <c r="J11" s="54" t="s">
        <v>47</v>
      </c>
      <c r="K11" s="54">
        <f>IF(F7=0,0,F11/F7*K7)</f>
        <v>0</v>
      </c>
      <c r="L11" s="60">
        <f>IF(G7=0,0,G11/G7*L7)</f>
        <v>0</v>
      </c>
      <c r="M11" s="32"/>
      <c r="N11" s="33"/>
      <c r="O11" s="33"/>
      <c r="P11" s="34">
        <f>IF('Баланс мощности'!F11=0,0,'Баланс эл энергии'!F11/'Баланс мощности'!F11)</f>
        <v>0</v>
      </c>
      <c r="Q11" s="35">
        <f>IF('Баланс мощности'!G11=0,0,'Баланс эл энергии'!G11/'Баланс мощности'!G11)</f>
        <v>0</v>
      </c>
    </row>
    <row r="12" spans="1:17" ht="15.75">
      <c r="A12" s="56" t="s">
        <v>50</v>
      </c>
      <c r="B12" s="109" t="s">
        <v>3</v>
      </c>
      <c r="C12" s="110" t="s">
        <v>47</v>
      </c>
      <c r="D12" s="54" t="s">
        <v>47</v>
      </c>
      <c r="E12" s="54" t="s">
        <v>47</v>
      </c>
      <c r="F12" s="54" t="s">
        <v>47</v>
      </c>
      <c r="G12" s="55">
        <f>F7-F17-F19-F20</f>
        <v>0.9416417821383649</v>
      </c>
      <c r="H12" s="110" t="s">
        <v>47</v>
      </c>
      <c r="I12" s="54" t="s">
        <v>47</v>
      </c>
      <c r="J12" s="54" t="s">
        <v>47</v>
      </c>
      <c r="K12" s="54" t="s">
        <v>47</v>
      </c>
      <c r="L12" s="60">
        <f>IF(G7=0,0,G12/G7*L7)</f>
        <v>0.07874015748031496</v>
      </c>
      <c r="M12" s="32"/>
      <c r="N12" s="33"/>
      <c r="O12" s="33"/>
      <c r="P12" s="33"/>
      <c r="Q12" s="35">
        <f>IF('Баланс мощности'!G12=0,0,'Баланс эл энергии'!G12/'Баланс мощности'!G12)</f>
        <v>3898.089559773422</v>
      </c>
    </row>
    <row r="13" spans="1:17" ht="15.75">
      <c r="A13" s="56" t="s">
        <v>17</v>
      </c>
      <c r="B13" s="57" t="s">
        <v>51</v>
      </c>
      <c r="C13" s="117">
        <f>SUM(D13:G13)</f>
        <v>0</v>
      </c>
      <c r="D13" s="54"/>
      <c r="E13" s="54"/>
      <c r="F13" s="54"/>
      <c r="G13" s="55"/>
      <c r="H13" s="118">
        <f>SUM(I13:L13)</f>
        <v>0</v>
      </c>
      <c r="I13" s="54">
        <f>IF(D7=0,0,D13/D7*I7)</f>
        <v>0</v>
      </c>
      <c r="J13" s="54">
        <f>IF(E7=0,0,E13/E7*J7)</f>
        <v>0</v>
      </c>
      <c r="K13" s="54">
        <f>IF(F7=0,0,F13/F7*K7)</f>
        <v>0</v>
      </c>
      <c r="L13" s="60">
        <f>IF(G7=0,0,G13/G7*L7)</f>
        <v>0</v>
      </c>
      <c r="M13" s="37">
        <f>IF('Баланс мощности'!C13=0,0,'Баланс эл энергии'!C13/'Баланс мощности'!C13)</f>
        <v>0</v>
      </c>
      <c r="N13" s="34">
        <f>IF('Баланс мощности'!D13=0,0,'Баланс эл энергии'!D13/'Баланс мощности'!D13)</f>
        <v>0</v>
      </c>
      <c r="O13" s="34">
        <f>IF('Баланс мощности'!E13=0,0,'Баланс эл энергии'!E13/'Баланс мощности'!E13)</f>
        <v>0</v>
      </c>
      <c r="P13" s="34">
        <f>IF('Баланс мощности'!F13=0,0,'Баланс эл энергии'!F13/'Баланс мощности'!F13)</f>
        <v>0</v>
      </c>
      <c r="Q13" s="35">
        <f>IF('Баланс мощности'!G13=0,0,'Баланс эл энергии'!G13/'Баланс мощности'!G13)</f>
        <v>0</v>
      </c>
    </row>
    <row r="14" spans="1:17" ht="15.75">
      <c r="A14" s="56" t="s">
        <v>19</v>
      </c>
      <c r="B14" s="57" t="s">
        <v>52</v>
      </c>
      <c r="C14" s="117">
        <f>SUM(D14:G14)</f>
        <v>0</v>
      </c>
      <c r="D14" s="116"/>
      <c r="E14" s="116"/>
      <c r="F14" s="116"/>
      <c r="G14" s="55"/>
      <c r="H14" s="118">
        <f>SUM(I14:L14)</f>
        <v>0</v>
      </c>
      <c r="I14" s="54">
        <f>IF(D7=0,0,D14/D7*I7)</f>
        <v>0</v>
      </c>
      <c r="J14" s="54">
        <f>IF(E7=0,0,E14/E7*J7)</f>
        <v>0</v>
      </c>
      <c r="K14" s="54">
        <f>IF(F7=0,0,F14/F7*K7)</f>
        <v>0</v>
      </c>
      <c r="L14" s="60">
        <f>IF(G7=0,0,G14/G7*L7)</f>
        <v>0</v>
      </c>
      <c r="M14" s="37">
        <f>IF('Баланс мощности'!C14=0,0,'Баланс эл энергии'!C14/'Баланс мощности'!C14)</f>
        <v>0</v>
      </c>
      <c r="N14" s="34">
        <f>IF('Баланс мощности'!D14=0,0,'Баланс эл энергии'!D14/'Баланс мощности'!D14)</f>
        <v>0</v>
      </c>
      <c r="O14" s="34">
        <f>IF('Баланс мощности'!E14=0,0,'Баланс эл энергии'!E14/'Баланс мощности'!E14)</f>
        <v>0</v>
      </c>
      <c r="P14" s="34">
        <f>IF('Баланс мощности'!F14=0,0,'Баланс эл энергии'!F14/'Баланс мощности'!F14)</f>
        <v>0</v>
      </c>
      <c r="Q14" s="35">
        <f>IF('Баланс мощности'!G14=0,0,'Баланс эл энергии'!G14/'Баланс мощности'!G14)</f>
        <v>0</v>
      </c>
    </row>
    <row r="15" spans="1:19" ht="15.75">
      <c r="A15" s="56" t="s">
        <v>21</v>
      </c>
      <c r="B15" s="57" t="s">
        <v>53</v>
      </c>
      <c r="C15" s="117">
        <f>SUM(D15:G15)</f>
        <v>2.1440155136268344</v>
      </c>
      <c r="D15" s="116">
        <f>мощн!F14-'Баланс мощности'!D16</f>
        <v>2.1440155136268344</v>
      </c>
      <c r="E15" s="116"/>
      <c r="F15" s="116"/>
      <c r="G15" s="55"/>
      <c r="H15" s="118">
        <f>SUM(I15:L15)</f>
        <v>1.5190615119495094</v>
      </c>
      <c r="I15" s="54">
        <f>IF(D7=0,0,D15/D7*I7)</f>
        <v>1.5190615119495094</v>
      </c>
      <c r="J15" s="54">
        <f>IF(E7=0,0,E15/E7*J7)</f>
        <v>0</v>
      </c>
      <c r="K15" s="54">
        <f>IF(F7=0,0,F15/F7*K7)</f>
        <v>0</v>
      </c>
      <c r="L15" s="60">
        <f>IF(G7=0,0,G15/G7*L7)</f>
        <v>0</v>
      </c>
      <c r="M15" s="37">
        <f>IF('Баланс мощности'!C15=0,0,'Баланс эл энергии'!C15/'Баланс мощности'!C15)</f>
        <v>5279.8125424246555</v>
      </c>
      <c r="N15" s="34">
        <f>IF('Баланс мощности'!D15=0,0,'Баланс эл энергии'!D15/'Баланс мощности'!D15)</f>
        <v>5279.8125424246555</v>
      </c>
      <c r="O15" s="34">
        <f>IF('Баланс мощности'!E15=0,0,'Баланс эл энергии'!E15/'Баланс мощности'!E15)</f>
        <v>0</v>
      </c>
      <c r="P15" s="34">
        <f>IF('Баланс мощности'!F15=0,0,'Баланс эл энергии'!F15/'Баланс мощности'!F15)</f>
        <v>0</v>
      </c>
      <c r="Q15" s="35">
        <f>IF('Баланс мощности'!G15=0,0,'Баланс эл энергии'!G15/'Баланс мощности'!G15)</f>
        <v>0</v>
      </c>
      <c r="R15">
        <v>5287.303142862351</v>
      </c>
      <c r="S15">
        <f>'Баланс эл энергии'!D15/'Баланс мощности'!D15</f>
        <v>5279.8125424246555</v>
      </c>
    </row>
    <row r="16" spans="1:19" ht="15.75">
      <c r="A16" s="56" t="s">
        <v>54</v>
      </c>
      <c r="B16" s="57" t="s">
        <v>70</v>
      </c>
      <c r="C16" s="117">
        <f>SUM(D16:G16)</f>
        <v>0.8718888888888889</v>
      </c>
      <c r="D16" s="116">
        <f>'Баланс эл энергии'!D16/'Баланс мощности'!R16</f>
        <v>0.8718888888888889</v>
      </c>
      <c r="E16" s="116"/>
      <c r="F16" s="116"/>
      <c r="G16" s="55"/>
      <c r="H16" s="118">
        <f>SUM(I16:L16)</f>
        <v>0.6177440626663554</v>
      </c>
      <c r="I16" s="54">
        <f>IF(D7=0,0,D16/D7*I7)</f>
        <v>0.6177440626663554</v>
      </c>
      <c r="J16" s="54">
        <f>IF(E7=0,0,E16/E7*J7)</f>
        <v>0</v>
      </c>
      <c r="K16" s="54">
        <f>IF(F7=0,0,F16/F7*K7)</f>
        <v>0</v>
      </c>
      <c r="L16" s="60">
        <f>IF(G7=0,0,G16/G7*L7)</f>
        <v>0</v>
      </c>
      <c r="M16" s="37">
        <f>IF('Баланс мощности'!C16=0,0,'Баланс эл энергии'!C16/'Баланс мощности'!C16)</f>
        <v>5447.941888619855</v>
      </c>
      <c r="N16" s="34">
        <f>IF('Баланс мощности'!D16=0,0,'Баланс эл энергии'!D16/'Баланс мощности'!D16)</f>
        <v>5447.941888619855</v>
      </c>
      <c r="O16" s="34">
        <f>IF('Баланс мощности'!E16=0,0,'Баланс эл энергии'!E16/'Баланс мощности'!E16)</f>
        <v>0</v>
      </c>
      <c r="P16" s="34">
        <f>IF('Баланс мощности'!F16=0,0,'Баланс эл энергии'!F16/'Баланс мощности'!F16)</f>
        <v>0</v>
      </c>
      <c r="Q16" s="35">
        <f>IF('Баланс мощности'!G16=0,0,'Баланс эл энергии'!G16/'Баланс мощности'!G16)</f>
        <v>0</v>
      </c>
      <c r="R16">
        <v>5447.941888619855</v>
      </c>
      <c r="S16">
        <f>'Баланс эл энергии'!D16/'Баланс мощности'!D16</f>
        <v>5447.941888619855</v>
      </c>
    </row>
    <row r="17" spans="1:17" ht="15.75">
      <c r="A17" s="56" t="s">
        <v>6</v>
      </c>
      <c r="B17" s="109" t="s">
        <v>37</v>
      </c>
      <c r="C17" s="117">
        <f>SUM(D17:G17)</f>
        <v>0.07618317846265846</v>
      </c>
      <c r="D17" s="111">
        <f>D7*D18/100</f>
        <v>0</v>
      </c>
      <c r="E17" s="111">
        <f>E7*E18/100</f>
        <v>0</v>
      </c>
      <c r="F17" s="111">
        <f>мощн!F15</f>
        <v>0.06876262037735849</v>
      </c>
      <c r="G17" s="111">
        <f>мощн!G15</f>
        <v>0.007420558085299966</v>
      </c>
      <c r="H17" s="118">
        <f>SUM(I17:L17)</f>
        <v>0.053305574615865235</v>
      </c>
      <c r="I17" s="53">
        <f>I7*I18/100</f>
        <v>0</v>
      </c>
      <c r="J17" s="53">
        <f>J7*J18/100</f>
        <v>0</v>
      </c>
      <c r="K17" s="53">
        <f>K7*K18/100</f>
        <v>0.052565417135550276</v>
      </c>
      <c r="L17" s="113">
        <f>L7*L18/100</f>
        <v>0.0007401574803149606</v>
      </c>
      <c r="M17" s="37">
        <f>IF('Баланс мощности'!C17=0,0,'Баланс эл энергии'!C17/'Баланс мощности'!C17)</f>
        <v>5189.098275727219</v>
      </c>
      <c r="N17" s="34">
        <f>IF('Баланс мощности'!D17=0,0,'Баланс эл энергии'!D17/'Баланс мощности'!D17)</f>
        <v>0</v>
      </c>
      <c r="O17" s="34">
        <f>IF('Баланс мощности'!E17=0,0,'Баланс эл энергии'!E17/'Баланс мощности'!E17)</f>
        <v>0</v>
      </c>
      <c r="P17" s="34">
        <f>IF('Баланс мощности'!F17=0,0,'Баланс эл энергии'!F17/'Баланс мощности'!F17)</f>
        <v>5328.418230563002</v>
      </c>
      <c r="Q17" s="35">
        <f>IF('Баланс мощности'!G17=0,0,'Баланс эл энергии'!G17/'Баланс мощности'!G17)</f>
        <v>3898.0895597734234</v>
      </c>
    </row>
    <row r="18" spans="1:17" ht="15.75">
      <c r="A18" s="56" t="s">
        <v>55</v>
      </c>
      <c r="B18" s="109" t="s">
        <v>38</v>
      </c>
      <c r="C18" s="119">
        <f>IF(C7=0,0,C17/C7*100)</f>
        <v>2.52604752322753</v>
      </c>
      <c r="D18" s="120">
        <f>мощн!D16</f>
        <v>0</v>
      </c>
      <c r="E18" s="120">
        <f>мощн!E16</f>
        <v>0</v>
      </c>
      <c r="F18" s="120">
        <f>мощн!F16</f>
        <v>2.28</v>
      </c>
      <c r="G18" s="120">
        <f>мощн!G16</f>
        <v>0.788044692372156</v>
      </c>
      <c r="H18" s="118">
        <f>IF(H7=0,0,H17/H7*100)</f>
        <v>2.4946385038071615</v>
      </c>
      <c r="I18" s="53">
        <f>D18</f>
        <v>0</v>
      </c>
      <c r="J18" s="53">
        <f>E18</f>
        <v>0</v>
      </c>
      <c r="K18" s="53">
        <f>'Баланс эл энергии'!K18</f>
        <v>2.46</v>
      </c>
      <c r="L18" s="113">
        <f>'Баланс эл энергии'!L18</f>
        <v>0.94</v>
      </c>
      <c r="M18" s="37">
        <f>IF('Баланс мощности'!C18=0,0,'Баланс эл энергии'!C18/'Баланс мощности'!C18)</f>
        <v>0.9738534122496868</v>
      </c>
      <c r="N18" s="34">
        <f>IF('Баланс мощности'!D18=0,0,'Баланс эл энергии'!D18/'Баланс мощности'!D18)</f>
        <v>0</v>
      </c>
      <c r="O18" s="34">
        <f>IF('Баланс мощности'!E18=0,0,'Баланс эл энергии'!E18/'Баланс мощности'!E18)</f>
        <v>0</v>
      </c>
      <c r="P18" s="34">
        <f>IF('Баланс мощности'!F18=0,0,'Баланс эл энергии'!F18/'Баланс мощности'!F18)</f>
        <v>1</v>
      </c>
      <c r="Q18" s="35">
        <f>IF('Баланс мощности'!G18=0,0,'Баланс эл энергии'!G18/'Баланс мощности'!G18)</f>
        <v>1.0000000000000004</v>
      </c>
    </row>
    <row r="19" spans="1:17" ht="31.5">
      <c r="A19" s="56" t="s">
        <v>7</v>
      </c>
      <c r="B19" s="109" t="s">
        <v>62</v>
      </c>
      <c r="C19" s="117">
        <f>SUM(D19:G19)</f>
        <v>0</v>
      </c>
      <c r="D19" s="111"/>
      <c r="E19" s="111"/>
      <c r="F19" s="111"/>
      <c r="G19" s="112"/>
      <c r="H19" s="118">
        <f>SUM(I19:L19)</f>
        <v>0</v>
      </c>
      <c r="I19" s="53">
        <f>D19*((C21+C23)/C20)</f>
        <v>0</v>
      </c>
      <c r="J19" s="53">
        <f>E19*((C21+C23)/C20)</f>
        <v>0</v>
      </c>
      <c r="K19" s="53">
        <f>F19*((C21+C23)/C20)</f>
        <v>0</v>
      </c>
      <c r="L19" s="113">
        <f>G19*((C23+C21)/C20)</f>
        <v>0</v>
      </c>
      <c r="M19" s="37">
        <f>IF('Баланс мощности'!C19=0,0,'Баланс эл энергии'!C19/'Баланс мощности'!C19)</f>
        <v>0</v>
      </c>
      <c r="N19" s="34">
        <f>IF('Баланс мощности'!D19=0,0,'Баланс эл энергии'!D19/'Баланс мощности'!D19)</f>
        <v>0</v>
      </c>
      <c r="O19" s="34">
        <f>IF('Баланс мощности'!E19=0,0,'Баланс эл энергии'!E19/'Баланс мощности'!E19)</f>
        <v>0</v>
      </c>
      <c r="P19" s="34">
        <f>IF('Баланс мощности'!F19=0,0,'Баланс эл энергии'!F19/'Баланс мощности'!F19)</f>
        <v>0</v>
      </c>
      <c r="Q19" s="35">
        <f>IF('Баланс мощности'!G19=0,0,'Баланс эл энергии'!G19/'Баланс мощности'!G19)</f>
        <v>0</v>
      </c>
    </row>
    <row r="20" spans="1:17" ht="15.75">
      <c r="A20" s="121" t="s">
        <v>8</v>
      </c>
      <c r="B20" s="122" t="s">
        <v>63</v>
      </c>
      <c r="C20" s="117">
        <f>SUM(D20:G20)</f>
        <v>2.939721224053065</v>
      </c>
      <c r="D20" s="111">
        <f>D21+D22+D23</f>
        <v>0</v>
      </c>
      <c r="E20" s="111">
        <f>E21+E22+E23</f>
        <v>0</v>
      </c>
      <c r="F20" s="111">
        <f>F21+F22+F23</f>
        <v>2.0055</v>
      </c>
      <c r="G20" s="112">
        <f>G7-G17-G19</f>
        <v>0.934221224053065</v>
      </c>
      <c r="H20" s="118">
        <f>SUM(I20:L20)</f>
        <v>2.0835</v>
      </c>
      <c r="I20" s="53">
        <f>I21+I23</f>
        <v>0</v>
      </c>
      <c r="J20" s="53">
        <f>J21+J23</f>
        <v>0</v>
      </c>
      <c r="K20" s="53">
        <f>K21+K23</f>
        <v>2.0055</v>
      </c>
      <c r="L20" s="113">
        <f>L21+L23</f>
        <v>0.078</v>
      </c>
      <c r="M20" s="37">
        <f>IF('Баланс мощности'!C20=0,0,'Баланс эл энергии'!C20/'Баланс мощности'!C20)</f>
        <v>5332.028721549637</v>
      </c>
      <c r="N20" s="34">
        <f>IF('Баланс мощности'!D20=0,0,'Баланс эл энергии'!D20/'Баланс мощности'!D20)</f>
        <v>0</v>
      </c>
      <c r="O20" s="34">
        <f>IF('Баланс мощности'!E20=0,0,'Баланс эл энергии'!E20/'Баланс мощности'!E20)</f>
        <v>0</v>
      </c>
      <c r="P20" s="34">
        <f>IF('Баланс мощности'!F20=0,0,'Баланс эл энергии'!F20/'Баланс мощности'!F20)</f>
        <v>6000</v>
      </c>
      <c r="Q20" s="35">
        <f>IF('Баланс мощности'!G20=0,0,'Баланс эл энергии'!G20/'Баланс мощности'!G20)</f>
        <v>3898.089559773422</v>
      </c>
    </row>
    <row r="21" spans="1:17" ht="17.25" customHeight="1">
      <c r="A21" s="56" t="s">
        <v>27</v>
      </c>
      <c r="B21" s="123" t="s">
        <v>57</v>
      </c>
      <c r="C21" s="117">
        <f>SUM(D21:G21)</f>
        <v>2.0835</v>
      </c>
      <c r="D21" s="111">
        <v>0</v>
      </c>
      <c r="E21" s="111"/>
      <c r="F21" s="111">
        <f>мощн!F19</f>
        <v>2.0055</v>
      </c>
      <c r="G21" s="111">
        <f>мощн!G19</f>
        <v>0.078</v>
      </c>
      <c r="H21" s="118">
        <f>SUM(I21:L21)</f>
        <v>2.0835</v>
      </c>
      <c r="I21" s="53">
        <f>D21</f>
        <v>0</v>
      </c>
      <c r="J21" s="53">
        <f>E21</f>
        <v>0</v>
      </c>
      <c r="K21" s="53">
        <f>F21</f>
        <v>2.0055</v>
      </c>
      <c r="L21" s="113">
        <f>G21</f>
        <v>0.078</v>
      </c>
      <c r="M21" s="37">
        <f>IF('Баланс мощности'!C21=0,0,'Баланс эл энергии'!C21/'Баланс мощности'!C21)</f>
        <v>5967.362610991121</v>
      </c>
      <c r="N21" s="34">
        <f>IF('Баланс мощности'!D21=0,0,'Баланс эл энергии'!D21/'Баланс мощности'!D21)</f>
        <v>0</v>
      </c>
      <c r="O21" s="34">
        <f>IF('Баланс мощности'!E21=0,0,'Баланс эл энергии'!E21/'Баланс мощности'!E21)</f>
        <v>0</v>
      </c>
      <c r="P21" s="34">
        <f>IF('Баланс мощности'!F21=0,0,'Баланс эл энергии'!F21/'Баланс мощности'!F21)</f>
        <v>6000</v>
      </c>
      <c r="Q21" s="35">
        <f>IF('Баланс мощности'!G21=0,0,'Баланс эл энергии'!G21/'Баланс мощности'!G21)</f>
        <v>5128.205128205128</v>
      </c>
    </row>
    <row r="22" spans="1:17" ht="15.75">
      <c r="A22" s="124" t="s">
        <v>29</v>
      </c>
      <c r="B22" s="109" t="s">
        <v>64</v>
      </c>
      <c r="C22" s="117">
        <f>SUM(D22:G22)</f>
        <v>0.856221224053065</v>
      </c>
      <c r="D22" s="116"/>
      <c r="E22" s="116"/>
      <c r="F22" s="116">
        <f>мощн!F17</f>
        <v>0</v>
      </c>
      <c r="G22" s="116">
        <f>мощн!G17</f>
        <v>0.856221224053065</v>
      </c>
      <c r="H22" s="118">
        <f>SUM(I22:L22)</f>
        <v>0</v>
      </c>
      <c r="I22" s="54"/>
      <c r="J22" s="54"/>
      <c r="K22" s="54"/>
      <c r="L22" s="60"/>
      <c r="M22" s="37">
        <f>IF('Баланс мощности'!C22=0,0,'Баланс эл энергии'!C22/'Баланс мощности'!C22)</f>
        <v>3786.028550723119</v>
      </c>
      <c r="N22" s="34">
        <f>IF('Баланс мощности'!D22=0,0,'Баланс эл энергии'!D22/'Баланс мощности'!D22)</f>
        <v>0</v>
      </c>
      <c r="O22" s="34">
        <f>IF('Баланс мощности'!E22=0,0,'Баланс эл энергии'!E22/'Баланс мощности'!E22)</f>
        <v>0</v>
      </c>
      <c r="P22" s="34">
        <f>IF('Баланс мощности'!F22=0,0,'Баланс эл энергии'!F22/'Баланс мощности'!F22)</f>
        <v>0</v>
      </c>
      <c r="Q22" s="35">
        <f>IF('Баланс мощности'!G22=0,0,'Баланс эл энергии'!G22/'Баланс мощности'!G22)</f>
        <v>3786.028550723119</v>
      </c>
    </row>
    <row r="23" spans="1:17" ht="32.25" thickBot="1">
      <c r="A23" s="125" t="s">
        <v>31</v>
      </c>
      <c r="B23" s="126" t="s">
        <v>65</v>
      </c>
      <c r="C23" s="127">
        <f>SUM(D23:G23)</f>
        <v>0</v>
      </c>
      <c r="D23" s="128">
        <v>0</v>
      </c>
      <c r="E23" s="128"/>
      <c r="F23" s="128">
        <f>мощн!F21</f>
        <v>0</v>
      </c>
      <c r="G23" s="128">
        <f>мощн!G21</f>
        <v>0</v>
      </c>
      <c r="H23" s="129">
        <f>SUM(I23:L23)</f>
        <v>0</v>
      </c>
      <c r="I23" s="130">
        <f>D23</f>
        <v>0</v>
      </c>
      <c r="J23" s="130">
        <f>E23</f>
        <v>0</v>
      </c>
      <c r="K23" s="130">
        <f>F23</f>
        <v>0</v>
      </c>
      <c r="L23" s="131">
        <f>G23</f>
        <v>0</v>
      </c>
      <c r="M23" s="74">
        <f>IF('Баланс мощности'!C23=0,0,'Баланс эл энергии'!C23/'Баланс мощности'!C23)</f>
        <v>0</v>
      </c>
      <c r="N23" s="75">
        <f>IF('Баланс мощности'!D23=0,0,'Баланс эл энергии'!D23/'Баланс мощности'!D23)</f>
        <v>0</v>
      </c>
      <c r="O23" s="75">
        <f>IF('Баланс мощности'!E23=0,0,'Баланс эл энергии'!E23/'Баланс мощности'!E23)</f>
        <v>0</v>
      </c>
      <c r="P23" s="75">
        <f>IF('Баланс мощности'!F23=0,0,'Баланс эл энергии'!F23/'Баланс мощности'!F23)</f>
        <v>0</v>
      </c>
      <c r="Q23" s="76">
        <f>IF('Баланс мощности'!G23=0,0,'Баланс эл энергии'!G23/'Баланс мощности'!G23)</f>
        <v>0</v>
      </c>
    </row>
    <row r="24" spans="1:18" ht="15.75">
      <c r="A24" s="77"/>
      <c r="B24" s="77"/>
      <c r="C24" s="19"/>
      <c r="D24" s="20"/>
      <c r="E24" s="20"/>
      <c r="F24" s="20"/>
      <c r="G24" s="20"/>
      <c r="H24" s="21"/>
      <c r="I24" s="22"/>
      <c r="J24" s="22"/>
      <c r="K24" s="22"/>
      <c r="L24" s="22"/>
      <c r="M24" s="78"/>
      <c r="N24" s="78"/>
      <c r="O24" s="78"/>
      <c r="P24" s="78"/>
      <c r="Q24" s="78"/>
      <c r="R24" s="78"/>
    </row>
    <row r="25" ht="12.75">
      <c r="G25" s="52"/>
    </row>
    <row r="30" spans="2:7" ht="12.75">
      <c r="B30" t="s">
        <v>73</v>
      </c>
      <c r="G30" t="s">
        <v>75</v>
      </c>
    </row>
    <row r="38" spans="2:7" ht="12.75">
      <c r="B38" t="s">
        <v>74</v>
      </c>
      <c r="G38" t="s">
        <v>76</v>
      </c>
    </row>
  </sheetData>
  <sheetProtection/>
  <mergeCells count="8">
    <mergeCell ref="M3:Q4"/>
    <mergeCell ref="A1:L1"/>
    <mergeCell ref="A3:A5"/>
    <mergeCell ref="B3:B5"/>
    <mergeCell ref="C3:G3"/>
    <mergeCell ref="H3:L3"/>
    <mergeCell ref="C4:G4"/>
    <mergeCell ref="H4:L4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NeoGen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</dc:creator>
  <cp:keywords/>
  <dc:description/>
  <cp:lastModifiedBy>экономист</cp:lastModifiedBy>
  <cp:lastPrinted>2010-12-08T12:30:46Z</cp:lastPrinted>
  <dcterms:created xsi:type="dcterms:W3CDTF">2007-08-03T10:01:36Z</dcterms:created>
  <dcterms:modified xsi:type="dcterms:W3CDTF">2010-12-08T12:34:50Z</dcterms:modified>
  <cp:category/>
  <cp:version/>
  <cp:contentType/>
  <cp:contentStatus/>
</cp:coreProperties>
</file>